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235" windowHeight="9045" activeTab="0"/>
  </bookViews>
  <sheets>
    <sheet name="Баланс" sheetId="1" r:id="rId1"/>
    <sheet name="ФОТ" sheetId="2" r:id="rId2"/>
    <sheet name="смета" sheetId="3" r:id="rId3"/>
  </sheets>
  <externalReferences>
    <externalReference r:id="rId6"/>
  </externalReferences>
  <definedNames>
    <definedName name="_xlnm.Print_Area" localSheetId="0">'Баланс'!$B$1:$L$25</definedName>
    <definedName name="_xlnm.Print_Area" localSheetId="2">'смета'!$A$1:$G$51</definedName>
    <definedName name="_xlnm.Print_Area" localSheetId="1">'ФОТ'!$A$1:$L$25</definedName>
  </definedNames>
  <calcPr fullCalcOnLoad="1"/>
</workbook>
</file>

<file path=xl/sharedStrings.xml><?xml version="1.0" encoding="utf-8"?>
<sst xmlns="http://schemas.openxmlformats.org/spreadsheetml/2006/main" count="265" uniqueCount="223">
  <si>
    <t>кв.м</t>
  </si>
  <si>
    <t xml:space="preserve">сумма  </t>
  </si>
  <si>
    <t>р/кв.м</t>
  </si>
  <si>
    <t>прим.</t>
  </si>
  <si>
    <t>год</t>
  </si>
  <si>
    <t xml:space="preserve"> мес.</t>
  </si>
  <si>
    <t>ФОТ (с НДФЛ, НПФР)</t>
  </si>
  <si>
    <t>эксплуатац. расходы</t>
  </si>
  <si>
    <t>поверка манометров, т/счетчика</t>
  </si>
  <si>
    <t>замеры сопротивл изоляции</t>
  </si>
  <si>
    <t>1р/3 года</t>
  </si>
  <si>
    <t>паспортизация БТИ</t>
  </si>
  <si>
    <t>1р в 5 лет</t>
  </si>
  <si>
    <t>текущий ремонт конструкций</t>
  </si>
  <si>
    <t>инструмент, инвентарь</t>
  </si>
  <si>
    <t>летн</t>
  </si>
  <si>
    <t>зимн</t>
  </si>
  <si>
    <t>обувь</t>
  </si>
  <si>
    <t>всего на чел.</t>
  </si>
  <si>
    <t>спец. одежда</t>
  </si>
  <si>
    <t>средства защиты</t>
  </si>
  <si>
    <t>на год</t>
  </si>
  <si>
    <t>на 3 г.</t>
  </si>
  <si>
    <t>на 2 г.</t>
  </si>
  <si>
    <t>хоз. расх. материалы</t>
  </si>
  <si>
    <t>аттестация, обучение персонала</t>
  </si>
  <si>
    <t>4 чел.</t>
  </si>
  <si>
    <t>дезинсекция, дератизация;</t>
  </si>
  <si>
    <t>утлизация ртутных ламп</t>
  </si>
  <si>
    <t>?</t>
  </si>
  <si>
    <t>непредвиденные расходы</t>
  </si>
  <si>
    <t>адм. расходы</t>
  </si>
  <si>
    <t>управление</t>
  </si>
  <si>
    <t>услуги банка</t>
  </si>
  <si>
    <t>информ. услуги, связь, 1С</t>
  </si>
  <si>
    <t>амортизация орг. техники</t>
  </si>
  <si>
    <t>канц товары</t>
  </si>
  <si>
    <t xml:space="preserve">страхование ГО </t>
  </si>
  <si>
    <t>услуги юриста, нотариуса</t>
  </si>
  <si>
    <t>подрядчики</t>
  </si>
  <si>
    <t>лифты</t>
  </si>
  <si>
    <t>лифты: ТО</t>
  </si>
  <si>
    <t>лифты страхование ОПО</t>
  </si>
  <si>
    <t>вывоз ТБО</t>
  </si>
  <si>
    <t>отдельной строкой</t>
  </si>
  <si>
    <t>потери теплоносителя СЦО</t>
  </si>
  <si>
    <t>благоустройство и пр.</t>
  </si>
  <si>
    <t>мех уборка/вывоз снега</t>
  </si>
  <si>
    <t>п/итог без налогов:</t>
  </si>
  <si>
    <t>ИТОГО (руб/мес):</t>
  </si>
  <si>
    <t>Должности</t>
  </si>
  <si>
    <t>кол-во</t>
  </si>
  <si>
    <t>на кв.м.</t>
  </si>
  <si>
    <t>на руки</t>
  </si>
  <si>
    <t>примечание</t>
  </si>
  <si>
    <t>шт. ед.</t>
  </si>
  <si>
    <t>руб.</t>
  </si>
  <si>
    <t>р/м2</t>
  </si>
  <si>
    <t>Управление</t>
  </si>
  <si>
    <t>Управляющий</t>
  </si>
  <si>
    <t>совмещение</t>
  </si>
  <si>
    <t>Паспортистка</t>
  </si>
  <si>
    <t>Эксплуатация</t>
  </si>
  <si>
    <t xml:space="preserve">Уборщица </t>
  </si>
  <si>
    <t>Дворник-садовник</t>
  </si>
  <si>
    <t>Замещение на время отпуска</t>
  </si>
  <si>
    <t>ВСЕГО на площадь (м2):</t>
  </si>
  <si>
    <t>№ п/п</t>
  </si>
  <si>
    <t>площадь</t>
  </si>
  <si>
    <t>Квартиры</t>
  </si>
  <si>
    <t>Первый этаж</t>
  </si>
  <si>
    <t xml:space="preserve">Паркинг </t>
  </si>
  <si>
    <t>Цоколь</t>
  </si>
  <si>
    <t>квартиры / офисы</t>
  </si>
  <si>
    <t>ВСЕГО: </t>
  </si>
  <si>
    <t>ФОТ</t>
  </si>
  <si>
    <t>благоустройство</t>
  </si>
  <si>
    <t>тариф на содержание (р/м2)</t>
  </si>
  <si>
    <t>р.</t>
  </si>
  <si>
    <t>сумма     (месяц)</t>
  </si>
  <si>
    <t>статьи расходов</t>
  </si>
  <si>
    <t>эксплуатационные</t>
  </si>
  <si>
    <t>административные</t>
  </si>
  <si>
    <t>озеленение терр, мал. формы</t>
  </si>
  <si>
    <t xml:space="preserve">Диспетчер  (круглосут.) </t>
  </si>
  <si>
    <t>всего б/налог</t>
  </si>
  <si>
    <t>ставка б/налог</t>
  </si>
  <si>
    <t>решение ОС СП</t>
  </si>
  <si>
    <t>всего с налогами</t>
  </si>
  <si>
    <t>бухгалтерия</t>
  </si>
  <si>
    <t>бункер</t>
  </si>
  <si>
    <t>Поступления на содержание ОИ МКД 2018</t>
  </si>
  <si>
    <t>эффективная площадь</t>
  </si>
  <si>
    <t>эл. снабжение ОДН</t>
  </si>
  <si>
    <t>кроме АУП</t>
  </si>
  <si>
    <t>в 2018 г</t>
  </si>
  <si>
    <t>расчет</t>
  </si>
  <si>
    <t>корочки на Эл безопасность, пожарн, ОТ</t>
  </si>
  <si>
    <t>страхование гражданской ответственности ТСН на случай нанесения ущерба физ лицам</t>
  </si>
  <si>
    <t>в среднем за месяц:</t>
  </si>
  <si>
    <t>цена</t>
  </si>
  <si>
    <t>в 2018 не надо</t>
  </si>
  <si>
    <t>решить вопрос с администрацией</t>
  </si>
  <si>
    <t>первый год без цветов</t>
  </si>
  <si>
    <t>Аренда</t>
  </si>
  <si>
    <t>тариф</t>
  </si>
  <si>
    <t>используется при расчете удельных затрат на кв.м.</t>
  </si>
  <si>
    <t>уточнить!</t>
  </si>
  <si>
    <t>используемые сокращения</t>
  </si>
  <si>
    <t>МКД</t>
  </si>
  <si>
    <t>МОП</t>
  </si>
  <si>
    <t>ОИ</t>
  </si>
  <si>
    <t>СОИ</t>
  </si>
  <si>
    <t>многоквартирный дом</t>
  </si>
  <si>
    <t>места общего пользования</t>
  </si>
  <si>
    <t>общее имущество</t>
  </si>
  <si>
    <t>содержание ОИ</t>
  </si>
  <si>
    <t>ОС</t>
  </si>
  <si>
    <t>общее собрание</t>
  </si>
  <si>
    <t>СП</t>
  </si>
  <si>
    <t>собственник помещения</t>
  </si>
  <si>
    <t>ЗИП</t>
  </si>
  <si>
    <t>запасные инструменты и принадлежности</t>
  </si>
  <si>
    <t>БТИ</t>
  </si>
  <si>
    <t>бюро техн. инвентаризации</t>
  </si>
  <si>
    <t>ГО</t>
  </si>
  <si>
    <t>гражданская ответственность</t>
  </si>
  <si>
    <t>ТО</t>
  </si>
  <si>
    <t>техн обслуживние</t>
  </si>
  <si>
    <t>ДУ</t>
  </si>
  <si>
    <t>дымоудаление</t>
  </si>
  <si>
    <t>ППА</t>
  </si>
  <si>
    <t>противопожарная автоматика</t>
  </si>
  <si>
    <t>ОДН</t>
  </si>
  <si>
    <t>общедомовые нужды</t>
  </si>
  <si>
    <t>в 2018г надо поверить 12 ТТ и 3 ПУ ТЭ</t>
  </si>
  <si>
    <t>ПУ</t>
  </si>
  <si>
    <t>прибор учета</t>
  </si>
  <si>
    <t>ИПУ</t>
  </si>
  <si>
    <t>индивид. ПУ</t>
  </si>
  <si>
    <t>УСН (6% от дохода)</t>
  </si>
  <si>
    <t>Комендант</t>
  </si>
  <si>
    <t>(30/35) площадь условн.</t>
  </si>
  <si>
    <t>разовые работы</t>
  </si>
  <si>
    <t>договоров нет, суммы ориентировочные</t>
  </si>
  <si>
    <t>лифты: освидетельствование</t>
  </si>
  <si>
    <t>ориентировочно</t>
  </si>
  <si>
    <t>площадь (30р.)</t>
  </si>
  <si>
    <t>Мастер по экспл./ отделочник</t>
  </si>
  <si>
    <t>Ощутимое повышение платежей - за счет взносов на кап. ремонт - 9,07 р/кв.м</t>
  </si>
  <si>
    <t>В начальный период понадобятся большие суммы. Возможность ремонта лифтов и пр. можно обеспечить целевым организационным взносом  и небольшими, но регулярными взносами в резервный фонд. (1 р/м2).</t>
  </si>
  <si>
    <t>Для наглядности приведены удельные усредненные затраты по каждой статье на кв.м площади</t>
  </si>
  <si>
    <t>налог УСН 6% от дохода</t>
  </si>
  <si>
    <t>подрядчики (кр. лифтов, мусора)</t>
  </si>
  <si>
    <t>тарифы на коммунальные ресурсы (тепло, свет, вода, канализация) устанавливает комитет по ценам и тарифам Правительства МО, обычно с 1 июля</t>
  </si>
  <si>
    <t>срочно необходимо - ремонт лифтов, диспетчеризация, мебель, оргтехника, поверка приборов учета</t>
  </si>
  <si>
    <t>Мин. тариф на кап ремонт установлен Правительством МО. Решением ОС можно его повысить</t>
  </si>
  <si>
    <t>При этом в смету СОИ входит только неизменяемая часть расходов, но не входят лифты, мусор, эл/снабжение ОДН и доп услуги, которые указываются отдельной строкой по фактическим затратам, по ВСЕМ видам помещений</t>
  </si>
  <si>
    <t>Расходы на содержание ОИ МКД                                           (неизменяемая часть)</t>
  </si>
  <si>
    <t>ФСС, ФОМС</t>
  </si>
  <si>
    <t>НПФР, травм.</t>
  </si>
  <si>
    <t>ремонт тротуарной плитки</t>
  </si>
  <si>
    <t>доначисление налогов</t>
  </si>
  <si>
    <t>ремонт, ТО вентиляции</t>
  </si>
  <si>
    <t>ремонт инж. систем</t>
  </si>
  <si>
    <t>8 чел. * 3500</t>
  </si>
  <si>
    <t>канализация ОДН</t>
  </si>
  <si>
    <t>по факту</t>
  </si>
  <si>
    <t>куб.м/м2</t>
  </si>
  <si>
    <t>кВт.ч/м2</t>
  </si>
  <si>
    <t>норматив</t>
  </si>
  <si>
    <t>МОП, м2</t>
  </si>
  <si>
    <t>ХВС, ГВС ОДН</t>
  </si>
  <si>
    <t>за ед. в год</t>
  </si>
  <si>
    <t xml:space="preserve"> </t>
  </si>
  <si>
    <t>ТО подъездн. запир. устр-во</t>
  </si>
  <si>
    <t>с учетом льгот, по ст.427 НК</t>
  </si>
  <si>
    <t>Всего шт ед.:</t>
  </si>
  <si>
    <t>Фонд оплаты труда 2018 г.</t>
  </si>
  <si>
    <t>штатное расписание сотрудников, включая замещение на время отпуска, налогообложение</t>
  </si>
  <si>
    <t>Бухгалтер</t>
  </si>
  <si>
    <t>Председатель Правления:</t>
  </si>
  <si>
    <t>Кожина Н.В.</t>
  </si>
  <si>
    <t>Секретарь заседания:</t>
  </si>
  <si>
    <t>Антипова О.А.</t>
  </si>
  <si>
    <t>без учета литфов, вывоза мусора</t>
  </si>
  <si>
    <t>БАЛАНС поступлений и расходов на содержание общего имущества</t>
  </si>
  <si>
    <t>Приложение №2 к Протоколу заседания Правления №2 от 15.03.2018, лист 2</t>
  </si>
  <si>
    <t>Приложение №2 к Протоколу заседания Правления №2 от 15.03.2018, лист 1</t>
  </si>
  <si>
    <t>СМЕТА затрат на содержание ОИ МКД 2018 г.</t>
  </si>
  <si>
    <t>Приложение №2 к Протоколу заседания Правления №2 от 15.03.2018, лист 3</t>
  </si>
  <si>
    <t>всего с НДФЛ</t>
  </si>
  <si>
    <t>ставка с НДФЛ</t>
  </si>
  <si>
    <t>Инженер теплотехник</t>
  </si>
  <si>
    <t>Инженер электрик</t>
  </si>
  <si>
    <t>из паспорта</t>
  </si>
  <si>
    <t>р/ед.</t>
  </si>
  <si>
    <t>ед.</t>
  </si>
  <si>
    <t>дог.</t>
  </si>
  <si>
    <t>сумма</t>
  </si>
  <si>
    <t>месяц</t>
  </si>
  <si>
    <t>баланс</t>
  </si>
  <si>
    <t>средства фонда кап ремонта (спец счет)</t>
  </si>
  <si>
    <t>месяц 2018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</si>
  <si>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</si>
  <si>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</si>
  <si>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</si>
  <si>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</si>
  <si>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</si>
  <si>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</si>
  <si>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</si>
  <si>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</si>
  <si>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</si>
  <si>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</si>
  <si>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ремонт ППА</t>
  </si>
  <si>
    <t>ТО  ППА</t>
  </si>
  <si>
    <t>Председатель ТСН (Заказчик)</t>
  </si>
  <si>
    <t>уточнить</t>
  </si>
  <si>
    <t>Хоз/блоки</t>
  </si>
  <si>
    <t>всего</t>
  </si>
  <si>
    <t>Нежилые, кроме х/блоков</t>
  </si>
  <si>
    <t>в штате</t>
  </si>
  <si>
    <t>* - миним. оплата труда в МО - 14000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</si>
</sst>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0.0"/>
    <numFmt numFmtId="182" formatCode="0.0000"/>
    <numFmt numFmtId="183" formatCode="0.000"/>
    <numFmt numFmtId="184" formatCode="mmm/yyyy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#,##0.00000"/>
    <numFmt numFmtId="192" formatCode="dd/mm/yy;@"/>
    <numFmt numFmtId="193" formatCode="#,##0.0"/>
    <numFmt numFmtId="194" formatCode="#,##0_ч\е\л_.;\-#,##0_р_."/>
    <numFmt numFmtId="195" formatCode="#,##0_ч\е\л_.;\-#,##0_ч\е\л_."/>
    <numFmt numFmtId="196" formatCode="#,##0_е\л_.;\-#,##0_е\л_."/>
    <numFmt numFmtId="197" formatCode="[$-FC19]d\ mmmm\ yyyy\ &quot;г.&quot;"/>
    <numFmt numFmtId="198" formatCode="#,##0.00\ &quot;₽&quot;"/>
    <numFmt numFmtId="199" formatCode="#,##0\ &quot;₽&quot;"/>
    <numFmt numFmtId="200" formatCode="#,##0.0\ &quot;₽&quot;"/>
  </numFmts>
  <fonts count="68">
    <font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36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i/>
      <sz val="12"/>
      <name val="Arial Cyr"/>
      <family val="0"/>
    </font>
    <font>
      <sz val="12"/>
      <color indexed="62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i/>
      <u val="single"/>
      <sz val="11"/>
      <name val="Arial Cyr"/>
      <family val="0"/>
    </font>
    <font>
      <sz val="12"/>
      <name val="Calibri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2"/>
      <color indexed="30"/>
      <name val="Arial Cyr"/>
      <family val="0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sz val="14"/>
      <color indexed="6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FF0000"/>
      <name val="Times New Roman"/>
      <family val="1"/>
    </font>
    <font>
      <b/>
      <sz val="12"/>
      <color rgb="FF0070C0"/>
      <name val="Arial Cyr"/>
      <family val="0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8" tint="-0.24997000396251678"/>
      <name val="Calibri"/>
      <family val="2"/>
    </font>
    <font>
      <b/>
      <sz val="12"/>
      <color theme="8" tint="-0.24997000396251678"/>
      <name val="Calibri"/>
      <family val="2"/>
    </font>
    <font>
      <b/>
      <sz val="14"/>
      <color theme="1"/>
      <name val="Calibri"/>
      <family val="2"/>
    </font>
    <font>
      <sz val="16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4" fillId="3" borderId="0" applyNumberFormat="0" applyBorder="0" applyAlignment="0" applyProtection="0"/>
    <xf numFmtId="0" fontId="1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9" borderId="0" applyNumberFormat="0" applyBorder="0" applyAlignment="0" applyProtection="0"/>
    <xf numFmtId="0" fontId="1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5" borderId="0" applyNumberFormat="0" applyBorder="0" applyAlignment="0" applyProtection="0"/>
    <xf numFmtId="0" fontId="1" fillId="16" borderId="0" applyNumberFormat="0" applyBorder="0" applyAlignment="0" applyProtection="0"/>
    <xf numFmtId="0" fontId="54" fillId="17" borderId="0" applyNumberFormat="0" applyBorder="0" applyAlignment="0" applyProtection="0"/>
    <xf numFmtId="0" fontId="1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8" borderId="0" applyNumberFormat="0" applyBorder="0" applyAlignment="0" applyProtection="0"/>
    <xf numFmtId="0" fontId="54" fillId="20" borderId="0" applyNumberFormat="0" applyBorder="0" applyAlignment="0" applyProtection="0"/>
    <xf numFmtId="0" fontId="1" fillId="14" borderId="0" applyNumberFormat="0" applyBorder="0" applyAlignment="0" applyProtection="0"/>
    <xf numFmtId="0" fontId="54" fillId="21" borderId="0" applyNumberFormat="0" applyBorder="0" applyAlignment="0" applyProtection="0"/>
    <xf numFmtId="0" fontId="1" fillId="22" borderId="0" applyNumberFormat="0" applyBorder="0" applyAlignment="0" applyProtection="0"/>
    <xf numFmtId="0" fontId="54" fillId="23" borderId="0" applyNumberFormat="0" applyBorder="0" applyAlignment="0" applyProtection="0"/>
    <xf numFmtId="0" fontId="2" fillId="24" borderId="0" applyNumberFormat="0" applyBorder="0" applyAlignment="0" applyProtection="0"/>
    <xf numFmtId="0" fontId="55" fillId="25" borderId="0" applyNumberFormat="0" applyBorder="0" applyAlignment="0" applyProtection="0"/>
    <xf numFmtId="0" fontId="2" fillId="16" borderId="0" applyNumberFormat="0" applyBorder="0" applyAlignment="0" applyProtection="0"/>
    <xf numFmtId="0" fontId="55" fillId="26" borderId="0" applyNumberFormat="0" applyBorder="0" applyAlignment="0" applyProtection="0"/>
    <xf numFmtId="0" fontId="2" fillId="18" borderId="0" applyNumberFormat="0" applyBorder="0" applyAlignment="0" applyProtection="0"/>
    <xf numFmtId="0" fontId="55" fillId="27" borderId="0" applyNumberFormat="0" applyBorder="0" applyAlignment="0" applyProtection="0"/>
    <xf numFmtId="0" fontId="2" fillId="28" borderId="0" applyNumberFormat="0" applyBorder="0" applyAlignment="0" applyProtection="0"/>
    <xf numFmtId="0" fontId="55" fillId="29" borderId="0" applyNumberFormat="0" applyBorder="0" applyAlignment="0" applyProtection="0"/>
    <xf numFmtId="0" fontId="2" fillId="30" borderId="0" applyNumberFormat="0" applyBorder="0" applyAlignment="0" applyProtection="0"/>
    <xf numFmtId="0" fontId="55" fillId="31" borderId="0" applyNumberFormat="0" applyBorder="0" applyAlignment="0" applyProtection="0"/>
    <xf numFmtId="0" fontId="2" fillId="32" borderId="0" applyNumberFormat="0" applyBorder="0" applyAlignment="0" applyProtection="0"/>
    <xf numFmtId="0" fontId="5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4" fontId="23" fillId="40" borderId="10" xfId="0" applyNumberFormat="1" applyFont="1" applyFill="1" applyBorder="1" applyAlignment="1">
      <alignment wrapText="1"/>
    </xf>
    <xf numFmtId="4" fontId="24" fillId="40" borderId="10" xfId="0" applyNumberFormat="1" applyFont="1" applyFill="1" applyBorder="1" applyAlignment="1">
      <alignment wrapText="1"/>
    </xf>
    <xf numFmtId="10" fontId="25" fillId="40" borderId="12" xfId="0" applyNumberFormat="1" applyFont="1" applyFill="1" applyBorder="1" applyAlignment="1">
      <alignment wrapText="1"/>
    </xf>
    <xf numFmtId="4" fontId="24" fillId="6" borderId="13" xfId="0" applyNumberFormat="1" applyFont="1" applyFill="1" applyBorder="1" applyAlignment="1">
      <alignment wrapText="1"/>
    </xf>
    <xf numFmtId="0" fontId="25" fillId="6" borderId="12" xfId="0" applyFont="1" applyFill="1" applyBorder="1" applyAlignment="1">
      <alignment horizontal="center" wrapText="1"/>
    </xf>
    <xf numFmtId="4" fontId="25" fillId="6" borderId="11" xfId="0" applyNumberFormat="1" applyFont="1" applyFill="1" applyBorder="1" applyAlignment="1">
      <alignment wrapText="1"/>
    </xf>
    <xf numFmtId="4" fontId="25" fillId="6" borderId="12" xfId="0" applyNumberFormat="1" applyFont="1" applyFill="1" applyBorder="1" applyAlignment="1">
      <alignment wrapText="1"/>
    </xf>
    <xf numFmtId="0" fontId="25" fillId="6" borderId="13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0" fontId="0" fillId="6" borderId="14" xfId="0" applyFill="1" applyBorder="1" applyAlignment="1">
      <alignment/>
    </xf>
    <xf numFmtId="0" fontId="0" fillId="6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5" fillId="6" borderId="16" xfId="0" applyFont="1" applyFill="1" applyBorder="1" applyAlignment="1">
      <alignment horizontal="center" wrapText="1"/>
    </xf>
    <xf numFmtId="4" fontId="25" fillId="6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24" fillId="42" borderId="13" xfId="0" applyNumberFormat="1" applyFont="1" applyFill="1" applyBorder="1" applyAlignment="1">
      <alignment wrapText="1"/>
    </xf>
    <xf numFmtId="0" fontId="26" fillId="42" borderId="12" xfId="0" applyFont="1" applyFill="1" applyBorder="1" applyAlignment="1">
      <alignment horizontal="center"/>
    </xf>
    <xf numFmtId="4" fontId="25" fillId="42" borderId="11" xfId="0" applyNumberFormat="1" applyFont="1" applyFill="1" applyBorder="1" applyAlignment="1">
      <alignment wrapText="1"/>
    </xf>
    <xf numFmtId="0" fontId="25" fillId="42" borderId="11" xfId="0" applyFont="1" applyFill="1" applyBorder="1" applyAlignment="1">
      <alignment horizontal="center" wrapText="1"/>
    </xf>
    <xf numFmtId="4" fontId="25" fillId="42" borderId="12" xfId="0" applyNumberFormat="1" applyFont="1" applyFill="1" applyBorder="1" applyAlignment="1">
      <alignment wrapText="1"/>
    </xf>
    <xf numFmtId="3" fontId="0" fillId="42" borderId="14" xfId="0" applyNumberFormat="1" applyFill="1" applyBorder="1" applyAlignment="1">
      <alignment/>
    </xf>
    <xf numFmtId="0" fontId="0" fillId="42" borderId="14" xfId="0" applyFill="1" applyBorder="1" applyAlignment="1">
      <alignment horizontal="center"/>
    </xf>
    <xf numFmtId="0" fontId="0" fillId="42" borderId="14" xfId="0" applyFill="1" applyBorder="1" applyAlignment="1">
      <alignment/>
    </xf>
    <xf numFmtId="4" fontId="24" fillId="40" borderId="11" xfId="0" applyNumberFormat="1" applyFont="1" applyFill="1" applyBorder="1" applyAlignment="1">
      <alignment wrapText="1"/>
    </xf>
    <xf numFmtId="0" fontId="25" fillId="40" borderId="14" xfId="0" applyFont="1" applyFill="1" applyBorder="1" applyAlignment="1">
      <alignment horizontal="center" wrapText="1"/>
    </xf>
    <xf numFmtId="4" fontId="27" fillId="40" borderId="17" xfId="0" applyNumberFormat="1" applyFont="1" applyFill="1" applyBorder="1" applyAlignment="1">
      <alignment/>
    </xf>
    <xf numFmtId="0" fontId="28" fillId="40" borderId="18" xfId="0" applyFont="1" applyFill="1" applyBorder="1" applyAlignment="1">
      <alignment/>
    </xf>
    <xf numFmtId="4" fontId="25" fillId="40" borderId="11" xfId="0" applyNumberFormat="1" applyFont="1" applyFill="1" applyBorder="1" applyAlignment="1">
      <alignment wrapText="1"/>
    </xf>
    <xf numFmtId="4" fontId="25" fillId="40" borderId="19" xfId="0" applyNumberFormat="1" applyFont="1" applyFill="1" applyBorder="1" applyAlignment="1">
      <alignment wrapText="1"/>
    </xf>
    <xf numFmtId="4" fontId="25" fillId="40" borderId="12" xfId="0" applyNumberFormat="1" applyFont="1" applyFill="1" applyBorder="1" applyAlignment="1">
      <alignment wrapText="1"/>
    </xf>
    <xf numFmtId="4" fontId="25" fillId="40" borderId="13" xfId="0" applyNumberFormat="1" applyFont="1" applyFill="1" applyBorder="1" applyAlignment="1">
      <alignment wrapText="1"/>
    </xf>
    <xf numFmtId="0" fontId="25" fillId="40" borderId="11" xfId="0" applyFont="1" applyFill="1" applyBorder="1" applyAlignment="1">
      <alignment horizontal="center" wrapText="1"/>
    </xf>
    <xf numFmtId="0" fontId="25" fillId="40" borderId="12" xfId="0" applyFont="1" applyFill="1" applyBorder="1" applyAlignment="1">
      <alignment horizontal="center" wrapText="1"/>
    </xf>
    <xf numFmtId="4" fontId="24" fillId="6" borderId="12" xfId="0" applyNumberFormat="1" applyFont="1" applyFill="1" applyBorder="1" applyAlignment="1">
      <alignment horizontal="right" vertical="center" wrapText="1"/>
    </xf>
    <xf numFmtId="4" fontId="29" fillId="6" borderId="12" xfId="0" applyNumberFormat="1" applyFont="1" applyFill="1" applyBorder="1" applyAlignment="1">
      <alignment/>
    </xf>
    <xf numFmtId="4" fontId="22" fillId="22" borderId="12" xfId="0" applyNumberFormat="1" applyFont="1" applyFill="1" applyBorder="1" applyAlignment="1">
      <alignment wrapText="1"/>
    </xf>
    <xf numFmtId="4" fontId="24" fillId="22" borderId="12" xfId="0" applyNumberFormat="1" applyFont="1" applyFill="1" applyBorder="1" applyAlignment="1">
      <alignment wrapText="1"/>
    </xf>
    <xf numFmtId="4" fontId="22" fillId="22" borderId="12" xfId="0" applyNumberFormat="1" applyFont="1" applyFill="1" applyBorder="1" applyAlignment="1">
      <alignment horizontal="center" wrapText="1"/>
    </xf>
    <xf numFmtId="4" fontId="25" fillId="14" borderId="12" xfId="0" applyNumberFormat="1" applyFont="1" applyFill="1" applyBorder="1" applyAlignment="1">
      <alignment wrapText="1"/>
    </xf>
    <xf numFmtId="4" fontId="22" fillId="14" borderId="13" xfId="0" applyNumberFormat="1" applyFont="1" applyFill="1" applyBorder="1" applyAlignment="1">
      <alignment horizontal="right" wrapText="1"/>
    </xf>
    <xf numFmtId="4" fontId="22" fillId="14" borderId="12" xfId="0" applyNumberFormat="1" applyFont="1" applyFill="1" applyBorder="1" applyAlignment="1">
      <alignment wrapText="1"/>
    </xf>
    <xf numFmtId="4" fontId="30" fillId="22" borderId="12" xfId="0" applyNumberFormat="1" applyFont="1" applyFill="1" applyBorder="1" applyAlignment="1">
      <alignment wrapText="1"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1" fillId="12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12" borderId="12" xfId="0" applyFont="1" applyFill="1" applyBorder="1" applyAlignment="1">
      <alignment horizontal="center" vertical="center" wrapText="1"/>
    </xf>
    <xf numFmtId="0" fontId="33" fillId="12" borderId="20" xfId="0" applyFont="1" applyFill="1" applyBorder="1" applyAlignment="1">
      <alignment horizontal="center"/>
    </xf>
    <xf numFmtId="0" fontId="33" fillId="12" borderId="21" xfId="0" applyFont="1" applyFill="1" applyBorder="1" applyAlignment="1">
      <alignment horizontal="center"/>
    </xf>
    <xf numFmtId="0" fontId="29" fillId="42" borderId="12" xfId="0" applyFont="1" applyFill="1" applyBorder="1" applyAlignment="1">
      <alignment horizontal="center" vertical="center" wrapText="1"/>
    </xf>
    <xf numFmtId="0" fontId="26" fillId="42" borderId="0" xfId="0" applyFont="1" applyFill="1" applyAlignment="1">
      <alignment/>
    </xf>
    <xf numFmtId="3" fontId="29" fillId="42" borderId="0" xfId="0" applyNumberFormat="1" applyFont="1" applyFill="1" applyAlignment="1">
      <alignment/>
    </xf>
    <xf numFmtId="2" fontId="29" fillId="42" borderId="12" xfId="0" applyNumberFormat="1" applyFont="1" applyFill="1" applyBorder="1" applyAlignment="1">
      <alignment horizontal="right" vertical="center" wrapText="1"/>
    </xf>
    <xf numFmtId="0" fontId="26" fillId="42" borderId="12" xfId="0" applyFont="1" applyFill="1" applyBorder="1" applyAlignment="1">
      <alignment horizontal="center" vertical="center" wrapText="1"/>
    </xf>
    <xf numFmtId="0" fontId="26" fillId="42" borderId="12" xfId="0" applyFont="1" applyFill="1" applyBorder="1" applyAlignment="1">
      <alignment horizontal="center" wrapText="1"/>
    </xf>
    <xf numFmtId="0" fontId="26" fillId="42" borderId="12" xfId="0" applyFont="1" applyFill="1" applyBorder="1" applyAlignment="1">
      <alignment horizontal="left" vertical="center" wrapText="1"/>
    </xf>
    <xf numFmtId="3" fontId="26" fillId="42" borderId="12" xfId="0" applyNumberFormat="1" applyFont="1" applyFill="1" applyBorder="1" applyAlignment="1">
      <alignment/>
    </xf>
    <xf numFmtId="2" fontId="26" fillId="42" borderId="12" xfId="0" applyNumberFormat="1" applyFont="1" applyFill="1" applyBorder="1" applyAlignment="1">
      <alignment horizontal="right" vertical="center" wrapText="1"/>
    </xf>
    <xf numFmtId="0" fontId="26" fillId="42" borderId="12" xfId="0" applyFont="1" applyFill="1" applyBorder="1" applyAlignment="1">
      <alignment wrapText="1"/>
    </xf>
    <xf numFmtId="0" fontId="29" fillId="6" borderId="12" xfId="0" applyFont="1" applyFill="1" applyBorder="1" applyAlignment="1">
      <alignment horizontal="center" wrapText="1"/>
    </xf>
    <xf numFmtId="3" fontId="29" fillId="6" borderId="12" xfId="0" applyNumberFormat="1" applyFont="1" applyFill="1" applyBorder="1" applyAlignment="1">
      <alignment/>
    </xf>
    <xf numFmtId="0" fontId="26" fillId="6" borderId="12" xfId="0" applyFont="1" applyFill="1" applyBorder="1" applyAlignment="1">
      <alignment wrapText="1"/>
    </xf>
    <xf numFmtId="3" fontId="26" fillId="6" borderId="12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0" fontId="26" fillId="6" borderId="12" xfId="0" applyFont="1" applyFill="1" applyBorder="1" applyAlignment="1">
      <alignment horizontal="center" wrapText="1"/>
    </xf>
    <xf numFmtId="3" fontId="26" fillId="6" borderId="12" xfId="0" applyNumberFormat="1" applyFont="1" applyFill="1" applyBorder="1" applyAlignment="1">
      <alignment wrapText="1"/>
    </xf>
    <xf numFmtId="3" fontId="26" fillId="12" borderId="12" xfId="0" applyNumberFormat="1" applyFont="1" applyFill="1" applyBorder="1" applyAlignment="1">
      <alignment/>
    </xf>
    <xf numFmtId="0" fontId="26" fillId="12" borderId="12" xfId="0" applyFont="1" applyFill="1" applyBorder="1" applyAlignment="1">
      <alignment horizontal="center" wrapText="1"/>
    </xf>
    <xf numFmtId="0" fontId="35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4" fontId="56" fillId="6" borderId="12" xfId="0" applyNumberFormat="1" applyFont="1" applyFill="1" applyBorder="1" applyAlignment="1">
      <alignment wrapText="1"/>
    </xf>
    <xf numFmtId="9" fontId="26" fillId="12" borderId="12" xfId="0" applyNumberFormat="1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3" fontId="35" fillId="0" borderId="0" xfId="0" applyNumberFormat="1" applyFont="1" applyAlignment="1">
      <alignment/>
    </xf>
    <xf numFmtId="2" fontId="29" fillId="43" borderId="12" xfId="0" applyNumberFormat="1" applyFont="1" applyFill="1" applyBorder="1" applyAlignment="1">
      <alignment horizontal="right" vertical="center" wrapText="1"/>
    </xf>
    <xf numFmtId="2" fontId="26" fillId="43" borderId="12" xfId="0" applyNumberFormat="1" applyFont="1" applyFill="1" applyBorder="1" applyAlignment="1">
      <alignment horizontal="right" vertical="center" wrapText="1"/>
    </xf>
    <xf numFmtId="0" fontId="57" fillId="12" borderId="12" xfId="0" applyFont="1" applyFill="1" applyBorder="1" applyAlignment="1">
      <alignment horizontal="center" wrapText="1"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4" fontId="0" fillId="44" borderId="0" xfId="0" applyNumberFormat="1" applyFill="1" applyAlignment="1">
      <alignment/>
    </xf>
    <xf numFmtId="0" fontId="37" fillId="0" borderId="0" xfId="0" applyFont="1" applyAlignment="1">
      <alignment horizontal="center" vertical="center"/>
    </xf>
    <xf numFmtId="0" fontId="58" fillId="0" borderId="2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/>
    </xf>
    <xf numFmtId="0" fontId="37" fillId="11" borderId="23" xfId="0" applyFont="1" applyFill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4" fontId="59" fillId="0" borderId="12" xfId="0" applyNumberFormat="1" applyFont="1" applyBorder="1" applyAlignment="1">
      <alignment horizontal="center" vertical="center" wrapText="1"/>
    </xf>
    <xf numFmtId="4" fontId="59" fillId="0" borderId="24" xfId="0" applyNumberFormat="1" applyFont="1" applyBorder="1" applyAlignment="1">
      <alignment horizontal="center" vertical="center" wrapText="1"/>
    </xf>
    <xf numFmtId="0" fontId="60" fillId="11" borderId="22" xfId="0" applyFont="1" applyFill="1" applyBorder="1" applyAlignment="1">
      <alignment horizontal="center" vertical="center" wrapText="1"/>
    </xf>
    <xf numFmtId="0" fontId="60" fillId="11" borderId="12" xfId="0" applyFont="1" applyFill="1" applyBorder="1" applyAlignment="1">
      <alignment horizontal="center" vertical="center" wrapText="1"/>
    </xf>
    <xf numFmtId="0" fontId="60" fillId="11" borderId="24" xfId="0" applyFont="1" applyFill="1" applyBorder="1" applyAlignment="1">
      <alignment horizontal="center" vertical="center" wrapText="1"/>
    </xf>
    <xf numFmtId="198" fontId="59" fillId="0" borderId="12" xfId="0" applyNumberFormat="1" applyFont="1" applyBorder="1" applyAlignment="1">
      <alignment horizontal="center" vertical="center" wrapText="1"/>
    </xf>
    <xf numFmtId="0" fontId="58" fillId="11" borderId="25" xfId="0" applyFont="1" applyFill="1" applyBorder="1" applyAlignment="1">
      <alignment horizontal="center" vertical="center" wrapText="1"/>
    </xf>
    <xf numFmtId="198" fontId="59" fillId="0" borderId="24" xfId="0" applyNumberFormat="1" applyFont="1" applyBorder="1" applyAlignment="1">
      <alignment horizontal="center" vertical="center" wrapText="1"/>
    </xf>
    <xf numFmtId="4" fontId="61" fillId="11" borderId="26" xfId="0" applyNumberFormat="1" applyFont="1" applyFill="1" applyBorder="1" applyAlignment="1">
      <alignment horizontal="center" vertical="center" wrapText="1"/>
    </xf>
    <xf numFmtId="198" fontId="61" fillId="11" borderId="25" xfId="0" applyNumberFormat="1" applyFont="1" applyFill="1" applyBorder="1" applyAlignment="1">
      <alignment horizontal="center" vertical="center" wrapText="1"/>
    </xf>
    <xf numFmtId="10" fontId="26" fillId="12" borderId="12" xfId="0" applyNumberFormat="1" applyFont="1" applyFill="1" applyBorder="1" applyAlignment="1">
      <alignment horizontal="center" vertical="center" wrapText="1"/>
    </xf>
    <xf numFmtId="0" fontId="32" fillId="9" borderId="12" xfId="0" applyFont="1" applyFill="1" applyBorder="1" applyAlignment="1">
      <alignment horizontal="center" wrapText="1"/>
    </xf>
    <xf numFmtId="3" fontId="32" fillId="9" borderId="12" xfId="0" applyNumberFormat="1" applyFont="1" applyFill="1" applyBorder="1" applyAlignment="1">
      <alignment wrapText="1"/>
    </xf>
    <xf numFmtId="3" fontId="26" fillId="9" borderId="12" xfId="0" applyNumberFormat="1" applyFont="1" applyFill="1" applyBorder="1" applyAlignment="1">
      <alignment/>
    </xf>
    <xf numFmtId="0" fontId="26" fillId="9" borderId="12" xfId="0" applyFont="1" applyFill="1" applyBorder="1" applyAlignment="1">
      <alignment horizontal="center" wrapText="1"/>
    </xf>
    <xf numFmtId="183" fontId="36" fillId="12" borderId="12" xfId="0" applyNumberFormat="1" applyFont="1" applyFill="1" applyBorder="1" applyAlignment="1">
      <alignment horizontal="center" vertical="center" wrapText="1"/>
    </xf>
    <xf numFmtId="4" fontId="59" fillId="0" borderId="13" xfId="0" applyNumberFormat="1" applyFont="1" applyBorder="1" applyAlignment="1">
      <alignment horizontal="center" vertical="center" wrapText="1"/>
    </xf>
    <xf numFmtId="4" fontId="37" fillId="0" borderId="0" xfId="0" applyNumberFormat="1" applyFont="1" applyAlignment="1">
      <alignment horizontal="center" vertical="center"/>
    </xf>
    <xf numFmtId="0" fontId="25" fillId="6" borderId="19" xfId="0" applyFont="1" applyFill="1" applyBorder="1" applyAlignment="1">
      <alignment horizontal="right" wrapText="1"/>
    </xf>
    <xf numFmtId="0" fontId="0" fillId="45" borderId="15" xfId="0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45" borderId="0" xfId="0" applyFill="1" applyAlignment="1">
      <alignment horizontal="center"/>
    </xf>
    <xf numFmtId="0" fontId="0" fillId="45" borderId="15" xfId="0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0" xfId="0" applyFill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" fontId="25" fillId="33" borderId="12" xfId="0" applyNumberFormat="1" applyFont="1" applyFill="1" applyBorder="1" applyAlignment="1">
      <alignment wrapText="1"/>
    </xf>
    <xf numFmtId="0" fontId="25" fillId="33" borderId="12" xfId="0" applyFont="1" applyFill="1" applyBorder="1" applyAlignment="1">
      <alignment horizontal="center" wrapText="1"/>
    </xf>
    <xf numFmtId="0" fontId="25" fillId="46" borderId="12" xfId="0" applyFont="1" applyFill="1" applyBorder="1" applyAlignment="1">
      <alignment horizontal="center" wrapText="1"/>
    </xf>
    <xf numFmtId="9" fontId="28" fillId="14" borderId="21" xfId="0" applyNumberFormat="1" applyFont="1" applyFill="1" applyBorder="1" applyAlignment="1">
      <alignment horizontal="center"/>
    </xf>
    <xf numFmtId="199" fontId="0" fillId="33" borderId="0" xfId="0" applyNumberFormat="1" applyFill="1" applyAlignment="1">
      <alignment/>
    </xf>
    <xf numFmtId="0" fontId="37" fillId="0" borderId="0" xfId="0" applyFont="1" applyAlignment="1">
      <alignment horizontal="left" vertical="center"/>
    </xf>
    <xf numFmtId="0" fontId="37" fillId="0" borderId="27" xfId="0" applyFont="1" applyBorder="1" applyAlignment="1">
      <alignment horizontal="center" vertical="center"/>
    </xf>
    <xf numFmtId="198" fontId="37" fillId="0" borderId="28" xfId="0" applyNumberFormat="1" applyFont="1" applyBorder="1" applyAlignment="1">
      <alignment horizontal="center" vertical="center"/>
    </xf>
    <xf numFmtId="4" fontId="62" fillId="0" borderId="18" xfId="0" applyNumberFormat="1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198" fontId="63" fillId="20" borderId="17" xfId="0" applyNumberFormat="1" applyFont="1" applyFill="1" applyBorder="1" applyAlignment="1">
      <alignment horizontal="center" vertical="center" wrapText="1"/>
    </xf>
    <xf numFmtId="0" fontId="60" fillId="20" borderId="29" xfId="0" applyFont="1" applyFill="1" applyBorder="1" applyAlignment="1">
      <alignment horizontal="center" vertical="center" wrapText="1"/>
    </xf>
    <xf numFmtId="0" fontId="60" fillId="20" borderId="30" xfId="0" applyFont="1" applyFill="1" applyBorder="1" applyAlignment="1">
      <alignment horizontal="center" vertical="center" wrapText="1"/>
    </xf>
    <xf numFmtId="0" fontId="60" fillId="20" borderId="31" xfId="0" applyFont="1" applyFill="1" applyBorder="1" applyAlignment="1">
      <alignment horizontal="center" vertical="center" wrapText="1"/>
    </xf>
    <xf numFmtId="0" fontId="58" fillId="20" borderId="22" xfId="0" applyFont="1" applyFill="1" applyBorder="1" applyAlignment="1">
      <alignment horizontal="center" vertical="center" wrapText="1"/>
    </xf>
    <xf numFmtId="0" fontId="58" fillId="20" borderId="12" xfId="0" applyFont="1" applyFill="1" applyBorder="1" applyAlignment="1">
      <alignment horizontal="center" vertical="center" wrapText="1"/>
    </xf>
    <xf numFmtId="4" fontId="61" fillId="20" borderId="12" xfId="0" applyNumberFormat="1" applyFont="1" applyFill="1" applyBorder="1" applyAlignment="1">
      <alignment horizontal="center" vertical="center" wrapText="1"/>
    </xf>
    <xf numFmtId="4" fontId="61" fillId="20" borderId="13" xfId="0" applyNumberFormat="1" applyFont="1" applyFill="1" applyBorder="1" applyAlignment="1">
      <alignment horizontal="center" vertical="center" wrapText="1"/>
    </xf>
    <xf numFmtId="198" fontId="61" fillId="20" borderId="24" xfId="0" applyNumberFormat="1" applyFont="1" applyFill="1" applyBorder="1" applyAlignment="1">
      <alignment horizontal="center" vertical="center" wrapText="1"/>
    </xf>
    <xf numFmtId="4" fontId="59" fillId="20" borderId="25" xfId="0" applyNumberFormat="1" applyFont="1" applyFill="1" applyBorder="1" applyAlignment="1">
      <alignment horizontal="center" vertical="center" wrapText="1"/>
    </xf>
    <xf numFmtId="4" fontId="59" fillId="20" borderId="32" xfId="0" applyNumberFormat="1" applyFont="1" applyFill="1" applyBorder="1" applyAlignment="1">
      <alignment horizontal="center" vertical="center" wrapText="1"/>
    </xf>
    <xf numFmtId="198" fontId="59" fillId="20" borderId="26" xfId="0" applyNumberFormat="1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/>
    </xf>
    <xf numFmtId="0" fontId="64" fillId="20" borderId="34" xfId="0" applyFont="1" applyFill="1" applyBorder="1" applyAlignment="1">
      <alignment horizontal="center" vertical="center" wrapText="1"/>
    </xf>
    <xf numFmtId="4" fontId="65" fillId="0" borderId="13" xfId="0" applyNumberFormat="1" applyFont="1" applyBorder="1" applyAlignment="1">
      <alignment horizontal="center" vertical="center" wrapText="1"/>
    </xf>
    <xf numFmtId="200" fontId="0" fillId="0" borderId="0" xfId="0" applyNumberFormat="1" applyAlignment="1">
      <alignment/>
    </xf>
    <xf numFmtId="4" fontId="0" fillId="0" borderId="16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26" fillId="0" borderId="0" xfId="0" applyFont="1" applyAlignment="1">
      <alignment horizontal="right"/>
    </xf>
    <xf numFmtId="4" fontId="50" fillId="0" borderId="0" xfId="0" applyNumberFormat="1" applyFont="1" applyAlignment="1">
      <alignment horizontal="right" vertical="center"/>
    </xf>
    <xf numFmtId="0" fontId="37" fillId="19" borderId="0" xfId="0" applyFont="1" applyFill="1" applyAlignment="1">
      <alignment horizontal="center" vertical="center"/>
    </xf>
    <xf numFmtId="0" fontId="37" fillId="19" borderId="0" xfId="0" applyFont="1" applyFill="1" applyAlignment="1">
      <alignment horizontal="left" vertical="center"/>
    </xf>
    <xf numFmtId="10" fontId="51" fillId="19" borderId="33" xfId="0" applyNumberFormat="1" applyFont="1" applyFill="1" applyBorder="1" applyAlignment="1">
      <alignment horizontal="center" vertical="center"/>
    </xf>
    <xf numFmtId="0" fontId="37" fillId="19" borderId="33" xfId="0" applyFont="1" applyFill="1" applyBorder="1" applyAlignment="1">
      <alignment horizontal="left" vertical="center"/>
    </xf>
    <xf numFmtId="0" fontId="37" fillId="19" borderId="33" xfId="0" applyFont="1" applyFill="1" applyBorder="1" applyAlignment="1">
      <alignment horizontal="center" vertical="center"/>
    </xf>
    <xf numFmtId="3" fontId="26" fillId="42" borderId="12" xfId="0" applyNumberFormat="1" applyFont="1" applyFill="1" applyBorder="1" applyAlignment="1">
      <alignment horizontal="right" vertical="center" wrapText="1"/>
    </xf>
    <xf numFmtId="3" fontId="26" fillId="42" borderId="12" xfId="0" applyNumberFormat="1" applyFont="1" applyFill="1" applyBorder="1" applyAlignment="1">
      <alignment wrapText="1"/>
    </xf>
    <xf numFmtId="3" fontId="29" fillId="6" borderId="13" xfId="0" applyNumberFormat="1" applyFont="1" applyFill="1" applyBorder="1" applyAlignment="1">
      <alignment wrapText="1"/>
    </xf>
    <xf numFmtId="3" fontId="29" fillId="6" borderId="20" xfId="0" applyNumberFormat="1" applyFont="1" applyFill="1" applyBorder="1" applyAlignment="1">
      <alignment wrapText="1"/>
    </xf>
    <xf numFmtId="3" fontId="32" fillId="9" borderId="20" xfId="0" applyNumberFormat="1" applyFont="1" applyFill="1" applyBorder="1" applyAlignment="1">
      <alignment wrapText="1"/>
    </xf>
    <xf numFmtId="3" fontId="29" fillId="12" borderId="21" xfId="0" applyNumberFormat="1" applyFont="1" applyFill="1" applyBorder="1" applyAlignment="1">
      <alignment horizontal="center" wrapText="1"/>
    </xf>
    <xf numFmtId="3" fontId="34" fillId="12" borderId="12" xfId="0" applyNumberFormat="1" applyFont="1" applyFill="1" applyBorder="1" applyAlignment="1">
      <alignment/>
    </xf>
    <xf numFmtId="2" fontId="34" fillId="12" borderId="12" xfId="0" applyNumberFormat="1" applyFont="1" applyFill="1" applyBorder="1" applyAlignment="1">
      <alignment/>
    </xf>
    <xf numFmtId="4" fontId="25" fillId="3" borderId="12" xfId="0" applyNumberFormat="1" applyFont="1" applyFill="1" applyBorder="1" applyAlignment="1">
      <alignment wrapText="1"/>
    </xf>
    <xf numFmtId="0" fontId="25" fillId="3" borderId="12" xfId="0" applyFont="1" applyFill="1" applyBorder="1" applyAlignment="1">
      <alignment horizontal="center" wrapText="1"/>
    </xf>
    <xf numFmtId="4" fontId="25" fillId="47" borderId="12" xfId="0" applyNumberFormat="1" applyFont="1" applyFill="1" applyBorder="1" applyAlignment="1">
      <alignment wrapText="1"/>
    </xf>
    <xf numFmtId="0" fontId="25" fillId="47" borderId="12" xfId="0" applyFont="1" applyFill="1" applyBorder="1" applyAlignment="1">
      <alignment horizontal="center" wrapText="1"/>
    </xf>
    <xf numFmtId="193" fontId="26" fillId="6" borderId="12" xfId="0" applyNumberFormat="1" applyFont="1" applyFill="1" applyBorder="1" applyAlignment="1">
      <alignment wrapText="1"/>
    </xf>
    <xf numFmtId="193" fontId="26" fillId="42" borderId="12" xfId="0" applyNumberFormat="1" applyFont="1" applyFill="1" applyBorder="1" applyAlignment="1">
      <alignment wrapText="1"/>
    </xf>
    <xf numFmtId="3" fontId="32" fillId="9" borderId="12" xfId="0" applyNumberFormat="1" applyFont="1" applyFill="1" applyBorder="1" applyAlignment="1">
      <alignment/>
    </xf>
    <xf numFmtId="2" fontId="32" fillId="9" borderId="12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/>
    </xf>
    <xf numFmtId="0" fontId="0" fillId="0" borderId="33" xfId="0" applyBorder="1" applyAlignment="1">
      <alignment/>
    </xf>
    <xf numFmtId="0" fontId="37" fillId="0" borderId="0" xfId="0" applyFont="1" applyAlignment="1">
      <alignment horizontal="center"/>
    </xf>
    <xf numFmtId="0" fontId="20" fillId="44" borderId="0" xfId="0" applyFont="1" applyFill="1" applyAlignment="1">
      <alignment/>
    </xf>
    <xf numFmtId="0" fontId="38" fillId="43" borderId="13" xfId="0" applyFont="1" applyFill="1" applyBorder="1" applyAlignment="1">
      <alignment/>
    </xf>
    <xf numFmtId="0" fontId="0" fillId="43" borderId="0" xfId="0" applyFont="1" applyFill="1" applyAlignment="1">
      <alignment/>
    </xf>
    <xf numFmtId="0" fontId="37" fillId="0" borderId="0" xfId="0" applyFont="1" applyAlignment="1">
      <alignment vertical="center"/>
    </xf>
    <xf numFmtId="0" fontId="35" fillId="0" borderId="33" xfId="0" applyFont="1" applyBorder="1" applyAlignment="1">
      <alignment/>
    </xf>
    <xf numFmtId="193" fontId="32" fillId="9" borderId="12" xfId="0" applyNumberFormat="1" applyFont="1" applyFill="1" applyBorder="1" applyAlignment="1">
      <alignment wrapText="1"/>
    </xf>
    <xf numFmtId="0" fontId="0" fillId="3" borderId="10" xfId="0" applyFill="1" applyBorder="1" applyAlignment="1">
      <alignment horizontal="center" vertical="center"/>
    </xf>
    <xf numFmtId="0" fontId="0" fillId="3" borderId="14" xfId="0" applyFill="1" applyBorder="1" applyAlignment="1">
      <alignment/>
    </xf>
    <xf numFmtId="0" fontId="0" fillId="3" borderId="3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25" fillId="3" borderId="10" xfId="0" applyNumberFormat="1" applyFont="1" applyFill="1" applyBorder="1" applyAlignment="1">
      <alignment wrapText="1"/>
    </xf>
    <xf numFmtId="0" fontId="0" fillId="3" borderId="12" xfId="0" applyFill="1" applyBorder="1" applyAlignment="1">
      <alignment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/>
    </xf>
    <xf numFmtId="0" fontId="0" fillId="48" borderId="21" xfId="0" applyFill="1" applyBorder="1" applyAlignment="1">
      <alignment/>
    </xf>
    <xf numFmtId="0" fontId="37" fillId="0" borderId="15" xfId="0" applyFont="1" applyBorder="1" applyAlignment="1">
      <alignment horizontal="center" vertical="center"/>
    </xf>
    <xf numFmtId="4" fontId="37" fillId="0" borderId="0" xfId="0" applyNumberFormat="1" applyFont="1" applyBorder="1" applyAlignment="1">
      <alignment horizontal="center" vertical="center"/>
    </xf>
    <xf numFmtId="4" fontId="37" fillId="0" borderId="27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4" fontId="37" fillId="0" borderId="20" xfId="0" applyNumberFormat="1" applyFont="1" applyBorder="1" applyAlignment="1">
      <alignment horizontal="center" vertical="center"/>
    </xf>
    <xf numFmtId="4" fontId="37" fillId="0" borderId="21" xfId="0" applyNumberFormat="1" applyFont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66" fillId="11" borderId="36" xfId="0" applyFont="1" applyFill="1" applyBorder="1" applyAlignment="1">
      <alignment horizontal="center" vertical="center" wrapText="1"/>
    </xf>
    <xf numFmtId="0" fontId="66" fillId="11" borderId="37" xfId="0" applyFont="1" applyFill="1" applyBorder="1" applyAlignment="1">
      <alignment horizontal="center" vertical="center" wrapText="1"/>
    </xf>
    <xf numFmtId="0" fontId="66" fillId="11" borderId="38" xfId="0" applyFont="1" applyFill="1" applyBorder="1" applyAlignment="1">
      <alignment horizontal="center" vertical="center" wrapText="1"/>
    </xf>
    <xf numFmtId="0" fontId="66" fillId="11" borderId="39" xfId="0" applyFont="1" applyFill="1" applyBorder="1" applyAlignment="1">
      <alignment horizontal="center" vertical="center" wrapText="1"/>
    </xf>
    <xf numFmtId="0" fontId="66" fillId="11" borderId="33" xfId="0" applyFont="1" applyFill="1" applyBorder="1" applyAlignment="1">
      <alignment horizontal="center" vertical="center" wrapText="1"/>
    </xf>
    <xf numFmtId="0" fontId="66" fillId="11" borderId="40" xfId="0" applyFont="1" applyFill="1" applyBorder="1" applyAlignment="1">
      <alignment horizontal="center" vertical="center" wrapText="1"/>
    </xf>
    <xf numFmtId="0" fontId="60" fillId="20" borderId="41" xfId="0" applyFont="1" applyFill="1" applyBorder="1" applyAlignment="1">
      <alignment horizontal="right" vertical="center" wrapText="1"/>
    </xf>
    <xf numFmtId="0" fontId="60" fillId="20" borderId="42" xfId="0" applyFont="1" applyFill="1" applyBorder="1" applyAlignment="1">
      <alignment horizontal="right" vertical="center" wrapText="1"/>
    </xf>
    <xf numFmtId="0" fontId="59" fillId="20" borderId="43" xfId="0" applyFont="1" applyFill="1" applyBorder="1" applyAlignment="1">
      <alignment horizontal="center" vertical="center" wrapText="1"/>
    </xf>
    <xf numFmtId="0" fontId="59" fillId="20" borderId="44" xfId="0" applyFont="1" applyFill="1" applyBorder="1" applyAlignment="1">
      <alignment horizontal="center" vertical="center" wrapText="1"/>
    </xf>
    <xf numFmtId="0" fontId="66" fillId="20" borderId="36" xfId="0" applyFont="1" applyFill="1" applyBorder="1" applyAlignment="1">
      <alignment horizontal="center" vertical="center" wrapText="1"/>
    </xf>
    <xf numFmtId="0" fontId="66" fillId="20" borderId="37" xfId="0" applyFont="1" applyFill="1" applyBorder="1" applyAlignment="1">
      <alignment horizontal="center" vertical="center" wrapText="1"/>
    </xf>
    <xf numFmtId="0" fontId="66" fillId="20" borderId="38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3" fontId="57" fillId="12" borderId="13" xfId="0" applyNumberFormat="1" applyFont="1" applyFill="1" applyBorder="1" applyAlignment="1">
      <alignment horizontal="center" wrapText="1"/>
    </xf>
    <xf numFmtId="3" fontId="57" fillId="12" borderId="20" xfId="0" applyNumberFormat="1" applyFont="1" applyFill="1" applyBorder="1" applyAlignment="1">
      <alignment horizontal="center" wrapText="1"/>
    </xf>
    <xf numFmtId="3" fontId="57" fillId="12" borderId="21" xfId="0" applyNumberFormat="1" applyFont="1" applyFill="1" applyBorder="1" applyAlignment="1">
      <alignment horizontal="center" wrapText="1"/>
    </xf>
    <xf numFmtId="0" fontId="31" fillId="12" borderId="10" xfId="0" applyNumberFormat="1" applyFont="1" applyFill="1" applyBorder="1" applyAlignment="1">
      <alignment horizontal="center" vertical="center" wrapText="1"/>
    </xf>
    <xf numFmtId="0" fontId="31" fillId="12" borderId="11" xfId="0" applyNumberFormat="1" applyFont="1" applyFill="1" applyBorder="1" applyAlignment="1">
      <alignment horizontal="center" vertical="center" wrapText="1"/>
    </xf>
    <xf numFmtId="0" fontId="28" fillId="44" borderId="13" xfId="0" applyFont="1" applyFill="1" applyBorder="1" applyAlignment="1">
      <alignment horizontal="center" vertical="center"/>
    </xf>
    <xf numFmtId="0" fontId="28" fillId="44" borderId="20" xfId="0" applyFont="1" applyFill="1" applyBorder="1" applyAlignment="1">
      <alignment horizontal="center" vertical="center"/>
    </xf>
    <xf numFmtId="0" fontId="28" fillId="44" borderId="21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right" vertical="center"/>
    </xf>
    <xf numFmtId="0" fontId="51" fillId="0" borderId="20" xfId="0" applyFont="1" applyBorder="1" applyAlignment="1">
      <alignment horizontal="center" vertical="center"/>
    </xf>
    <xf numFmtId="0" fontId="25" fillId="42" borderId="12" xfId="0" applyFont="1" applyFill="1" applyBorder="1" applyAlignment="1">
      <alignment wrapText="1"/>
    </xf>
    <xf numFmtId="0" fontId="25" fillId="6" borderId="12" xfId="0" applyFont="1" applyFill="1" applyBorder="1" applyAlignment="1">
      <alignment wrapText="1"/>
    </xf>
    <xf numFmtId="0" fontId="24" fillId="6" borderId="13" xfId="0" applyFont="1" applyFill="1" applyBorder="1" applyAlignment="1">
      <alignment horizontal="center" wrapText="1"/>
    </xf>
    <xf numFmtId="0" fontId="24" fillId="6" borderId="20" xfId="0" applyFont="1" applyFill="1" applyBorder="1" applyAlignment="1">
      <alignment horizontal="center" wrapText="1"/>
    </xf>
    <xf numFmtId="0" fontId="25" fillId="6" borderId="10" xfId="0" applyFont="1" applyFill="1" applyBorder="1" applyAlignment="1">
      <alignment wrapText="1"/>
    </xf>
    <xf numFmtId="0" fontId="25" fillId="40" borderId="11" xfId="0" applyFont="1" applyFill="1" applyBorder="1" applyAlignment="1">
      <alignment wrapText="1"/>
    </xf>
    <xf numFmtId="0" fontId="25" fillId="3" borderId="12" xfId="0" applyFont="1" applyFill="1" applyBorder="1" applyAlignment="1">
      <alignment wrapText="1"/>
    </xf>
    <xf numFmtId="0" fontId="21" fillId="14" borderId="18" xfId="0" applyFont="1" applyFill="1" applyBorder="1" applyAlignment="1">
      <alignment horizontal="center" vertical="center" wrapText="1"/>
    </xf>
    <xf numFmtId="0" fontId="21" fillId="14" borderId="28" xfId="0" applyFont="1" applyFill="1" applyBorder="1" applyAlignment="1">
      <alignment horizontal="center" vertical="center" wrapText="1"/>
    </xf>
    <xf numFmtId="193" fontId="67" fillId="14" borderId="16" xfId="0" applyNumberFormat="1" applyFont="1" applyFill="1" applyBorder="1" applyAlignment="1">
      <alignment horizontal="center" vertical="center" wrapText="1"/>
    </xf>
    <xf numFmtId="193" fontId="67" fillId="14" borderId="19" xfId="0" applyNumberFormat="1" applyFont="1" applyFill="1" applyBorder="1" applyAlignment="1">
      <alignment horizontal="center" vertical="center" wrapText="1"/>
    </xf>
    <xf numFmtId="0" fontId="67" fillId="14" borderId="35" xfId="0" applyFont="1" applyFill="1" applyBorder="1" applyAlignment="1">
      <alignment horizontal="center" vertical="center" wrapText="1"/>
    </xf>
    <xf numFmtId="0" fontId="67" fillId="14" borderId="33" xfId="0" applyFont="1" applyFill="1" applyBorder="1" applyAlignment="1">
      <alignment horizontal="center" vertical="center" wrapText="1"/>
    </xf>
    <xf numFmtId="0" fontId="21" fillId="14" borderId="35" xfId="0" applyFont="1" applyFill="1" applyBorder="1" applyAlignment="1">
      <alignment horizontal="center" vertical="center" wrapText="1"/>
    </xf>
    <xf numFmtId="0" fontId="21" fillId="14" borderId="33" xfId="0" applyFont="1" applyFill="1" applyBorder="1" applyAlignment="1">
      <alignment horizontal="center" vertical="center" wrapText="1"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wrapText="1"/>
    </xf>
    <xf numFmtId="0" fontId="24" fillId="6" borderId="33" xfId="0" applyFont="1" applyFill="1" applyBorder="1" applyAlignment="1">
      <alignment horizontal="center" wrapText="1"/>
    </xf>
    <xf numFmtId="0" fontId="24" fillId="6" borderId="28" xfId="0" applyFont="1" applyFill="1" applyBorder="1" applyAlignment="1">
      <alignment horizontal="center" wrapText="1"/>
    </xf>
    <xf numFmtId="0" fontId="25" fillId="33" borderId="12" xfId="0" applyFont="1" applyFill="1" applyBorder="1" applyAlignment="1">
      <alignment wrapText="1"/>
    </xf>
    <xf numFmtId="0" fontId="25" fillId="47" borderId="13" xfId="0" applyFont="1" applyFill="1" applyBorder="1" applyAlignment="1">
      <alignment horizontal="left" wrapText="1"/>
    </xf>
    <xf numFmtId="0" fontId="25" fillId="47" borderId="20" xfId="0" applyFont="1" applyFill="1" applyBorder="1" applyAlignment="1">
      <alignment horizontal="left" wrapText="1"/>
    </xf>
    <xf numFmtId="0" fontId="25" fillId="47" borderId="21" xfId="0" applyFont="1" applyFill="1" applyBorder="1" applyAlignment="1">
      <alignment horizontal="left" wrapText="1"/>
    </xf>
    <xf numFmtId="0" fontId="37" fillId="0" borderId="0" xfId="0" applyFont="1" applyAlignment="1">
      <alignment horizontal="left" vertical="center"/>
    </xf>
    <xf numFmtId="0" fontId="23" fillId="40" borderId="13" xfId="0" applyFont="1" applyFill="1" applyBorder="1" applyAlignment="1">
      <alignment horizontal="left" wrapText="1"/>
    </xf>
    <xf numFmtId="0" fontId="23" fillId="40" borderId="20" xfId="0" applyFont="1" applyFill="1" applyBorder="1" applyAlignment="1">
      <alignment horizontal="left" wrapText="1"/>
    </xf>
    <xf numFmtId="0" fontId="23" fillId="40" borderId="21" xfId="0" applyFont="1" applyFill="1" applyBorder="1" applyAlignment="1">
      <alignment horizontal="left" wrapText="1"/>
    </xf>
    <xf numFmtId="0" fontId="30" fillId="22" borderId="13" xfId="0" applyFont="1" applyFill="1" applyBorder="1" applyAlignment="1">
      <alignment horizontal="center" wrapText="1"/>
    </xf>
    <xf numFmtId="0" fontId="30" fillId="22" borderId="20" xfId="0" applyFont="1" applyFill="1" applyBorder="1" applyAlignment="1">
      <alignment horizontal="center" wrapText="1"/>
    </xf>
    <xf numFmtId="0" fontId="30" fillId="22" borderId="21" xfId="0" applyFont="1" applyFill="1" applyBorder="1" applyAlignment="1">
      <alignment horizontal="center" wrapText="1"/>
    </xf>
    <xf numFmtId="0" fontId="22" fillId="14" borderId="13" xfId="0" applyFont="1" applyFill="1" applyBorder="1" applyAlignment="1">
      <alignment horizontal="left" wrapText="1"/>
    </xf>
    <xf numFmtId="0" fontId="22" fillId="14" borderId="20" xfId="0" applyFont="1" applyFill="1" applyBorder="1" applyAlignment="1">
      <alignment horizontal="left" wrapText="1"/>
    </xf>
    <xf numFmtId="0" fontId="22" fillId="14" borderId="21" xfId="0" applyFont="1" applyFill="1" applyBorder="1" applyAlignment="1">
      <alignment horizontal="left" wrapText="1"/>
    </xf>
    <xf numFmtId="0" fontId="24" fillId="22" borderId="13" xfId="0" applyFont="1" applyFill="1" applyBorder="1" applyAlignment="1">
      <alignment wrapText="1"/>
    </xf>
    <xf numFmtId="0" fontId="24" fillId="22" borderId="20" xfId="0" applyFont="1" applyFill="1" applyBorder="1" applyAlignment="1">
      <alignment wrapText="1"/>
    </xf>
    <xf numFmtId="0" fontId="24" fillId="22" borderId="21" xfId="0" applyFont="1" applyFill="1" applyBorder="1" applyAlignment="1">
      <alignment wrapText="1"/>
    </xf>
    <xf numFmtId="0" fontId="25" fillId="6" borderId="11" xfId="0" applyFont="1" applyFill="1" applyBorder="1" applyAlignment="1">
      <alignment wrapText="1"/>
    </xf>
    <xf numFmtId="0" fontId="25" fillId="40" borderId="12" xfId="0" applyFont="1" applyFill="1" applyBorder="1" applyAlignment="1">
      <alignment wrapText="1"/>
    </xf>
    <xf numFmtId="0" fontId="25" fillId="42" borderId="11" xfId="0" applyFont="1" applyFill="1" applyBorder="1" applyAlignment="1">
      <alignment wrapText="1"/>
    </xf>
    <xf numFmtId="0" fontId="24" fillId="42" borderId="13" xfId="0" applyFont="1" applyFill="1" applyBorder="1" applyAlignment="1">
      <alignment horizontal="center" wrapText="1"/>
    </xf>
    <xf numFmtId="0" fontId="24" fillId="42" borderId="20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40" borderId="19" xfId="0" applyFont="1" applyFill="1" applyBorder="1" applyAlignment="1">
      <alignment horizontal="center" wrapText="1"/>
    </xf>
    <xf numFmtId="0" fontId="24" fillId="40" borderId="33" xfId="0" applyFont="1" applyFill="1" applyBorder="1" applyAlignment="1">
      <alignment horizontal="center" wrapText="1"/>
    </xf>
    <xf numFmtId="0" fontId="24" fillId="40" borderId="28" xfId="0" applyFont="1" applyFill="1" applyBorder="1" applyAlignment="1">
      <alignment horizontal="center" wrapText="1"/>
    </xf>
    <xf numFmtId="0" fontId="28" fillId="0" borderId="33" xfId="0" applyFont="1" applyBorder="1" applyAlignment="1">
      <alignment/>
    </xf>
    <xf numFmtId="0" fontId="37" fillId="0" borderId="0" xfId="0" applyFont="1" applyAlignment="1">
      <alignment horizontal="left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%20&#1057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кв."/>
      <sheetName val="нежилые"/>
      <sheetName val="Боксы"/>
      <sheetName val="офисы 1-й эт."/>
      <sheetName val="Цоколь -неж.пом."/>
      <sheetName val="паркинг"/>
      <sheetName val="квартиры"/>
      <sheetName val="голос 2018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O58"/>
  <sheetViews>
    <sheetView tabSelected="1" zoomScale="90" zoomScaleNormal="90" zoomScalePageLayoutView="0" workbookViewId="0" topLeftCell="A11">
      <selection activeCell="P18" sqref="P18"/>
    </sheetView>
  </sheetViews>
  <sheetFormatPr defaultColWidth="9.00390625" defaultRowHeight="12.75"/>
  <cols>
    <col min="1" max="1" width="1.875" style="87" customWidth="1"/>
    <col min="2" max="2" width="6.375" style="87" customWidth="1"/>
    <col min="3" max="3" width="29.375" style="87" customWidth="1"/>
    <col min="4" max="4" width="15.125" style="87" customWidth="1"/>
    <col min="5" max="5" width="10.75390625" style="87" customWidth="1"/>
    <col min="6" max="6" width="18.125" style="87" customWidth="1"/>
    <col min="7" max="7" width="3.625" style="87" customWidth="1"/>
    <col min="8" max="8" width="6.25390625" style="87" customWidth="1"/>
    <col min="9" max="9" width="33.00390625" style="87" customWidth="1"/>
    <col min="10" max="10" width="16.625" style="87" customWidth="1"/>
    <col min="11" max="11" width="12.125" style="87" customWidth="1"/>
    <col min="12" max="12" width="3.25390625" style="87" customWidth="1"/>
    <col min="13" max="13" width="9.125" style="87" customWidth="1"/>
    <col min="14" max="14" width="15.875" style="87" customWidth="1"/>
    <col min="15" max="15" width="11.125" style="87" customWidth="1"/>
    <col min="16" max="16384" width="9.125" style="87" customWidth="1"/>
  </cols>
  <sheetData>
    <row r="1" spans="3:10" ht="15.75">
      <c r="C1" s="216" t="s">
        <v>188</v>
      </c>
      <c r="D1" s="216"/>
      <c r="E1" s="216"/>
      <c r="F1" s="216"/>
      <c r="G1" s="216"/>
      <c r="H1" s="216"/>
      <c r="I1" s="216"/>
      <c r="J1" s="216"/>
    </row>
    <row r="2" spans="3:10" ht="19.5" thickBot="1">
      <c r="C2" s="215" t="s">
        <v>186</v>
      </c>
      <c r="D2" s="215"/>
      <c r="E2" s="215"/>
      <c r="F2" s="215"/>
      <c r="G2" s="215"/>
      <c r="H2" s="215"/>
      <c r="I2" s="215"/>
      <c r="J2" s="215"/>
    </row>
    <row r="3" spans="2:11" ht="28.5" customHeight="1">
      <c r="B3" s="228" t="s">
        <v>91</v>
      </c>
      <c r="C3" s="229"/>
      <c r="D3" s="229"/>
      <c r="E3" s="229"/>
      <c r="F3" s="230"/>
      <c r="H3" s="218" t="s">
        <v>158</v>
      </c>
      <c r="I3" s="219"/>
      <c r="J3" s="219"/>
      <c r="K3" s="220"/>
    </row>
    <row r="4" spans="2:11" ht="22.5" customHeight="1" thickBot="1">
      <c r="B4" s="224" t="s">
        <v>77</v>
      </c>
      <c r="C4" s="225"/>
      <c r="D4" s="225"/>
      <c r="E4" s="225"/>
      <c r="F4" s="131"/>
      <c r="H4" s="221"/>
      <c r="I4" s="222"/>
      <c r="J4" s="222"/>
      <c r="K4" s="223"/>
    </row>
    <row r="5" spans="2:11" ht="45" customHeight="1">
      <c r="B5" s="132" t="s">
        <v>67</v>
      </c>
      <c r="C5" s="133" t="s">
        <v>73</v>
      </c>
      <c r="D5" s="133" t="s">
        <v>68</v>
      </c>
      <c r="E5" s="144" t="s">
        <v>105</v>
      </c>
      <c r="F5" s="134" t="s">
        <v>79</v>
      </c>
      <c r="H5" s="95" t="s">
        <v>67</v>
      </c>
      <c r="I5" s="96" t="s">
        <v>80</v>
      </c>
      <c r="J5" s="96" t="s">
        <v>79</v>
      </c>
      <c r="K5" s="97" t="s">
        <v>2</v>
      </c>
    </row>
    <row r="6" spans="2:15" ht="23.25" customHeight="1">
      <c r="B6" s="91">
        <v>1</v>
      </c>
      <c r="C6" s="92" t="s">
        <v>69</v>
      </c>
      <c r="D6" s="93">
        <v>11768.5</v>
      </c>
      <c r="E6" s="145">
        <v>35</v>
      </c>
      <c r="F6" s="100">
        <f>D6*E6</f>
        <v>411897.5</v>
      </c>
      <c r="H6" s="88">
        <v>1</v>
      </c>
      <c r="I6" s="89" t="s">
        <v>75</v>
      </c>
      <c r="J6" s="98">
        <f>ФОТ!I20</f>
        <v>360139.4636015326</v>
      </c>
      <c r="K6" s="94">
        <f aca="true" t="shared" si="0" ref="K6:K11">J6/$D$19</f>
        <v>24.17073506391478</v>
      </c>
      <c r="N6" s="87" t="s">
        <v>69</v>
      </c>
      <c r="O6" s="87">
        <v>11768.500000000005</v>
      </c>
    </row>
    <row r="7" spans="2:15" ht="19.5" customHeight="1">
      <c r="B7" s="91">
        <v>2</v>
      </c>
      <c r="C7" s="92" t="s">
        <v>70</v>
      </c>
      <c r="D7" s="93">
        <v>1776.1</v>
      </c>
      <c r="E7" s="145">
        <v>30</v>
      </c>
      <c r="F7" s="100">
        <f>D7*E7</f>
        <v>53283</v>
      </c>
      <c r="H7" s="88">
        <v>2</v>
      </c>
      <c r="I7" s="89" t="s">
        <v>81</v>
      </c>
      <c r="J7" s="98">
        <f>смета!E6</f>
        <v>58901.38888888888</v>
      </c>
      <c r="K7" s="94">
        <f t="shared" si="0"/>
        <v>3.953162620648409</v>
      </c>
      <c r="N7" s="87" t="s">
        <v>220</v>
      </c>
      <c r="O7" s="87">
        <v>2218.2</v>
      </c>
    </row>
    <row r="8" spans="2:15" ht="19.5" customHeight="1">
      <c r="B8" s="91">
        <v>3</v>
      </c>
      <c r="C8" s="92" t="s">
        <v>72</v>
      </c>
      <c r="D8" s="93">
        <v>467.3</v>
      </c>
      <c r="E8" s="145">
        <v>30</v>
      </c>
      <c r="F8" s="100">
        <f>D8*E8</f>
        <v>14019</v>
      </c>
      <c r="H8" s="88">
        <v>3</v>
      </c>
      <c r="I8" s="89" t="s">
        <v>82</v>
      </c>
      <c r="J8" s="98">
        <f>смета!E19</f>
        <v>30000</v>
      </c>
      <c r="K8" s="94">
        <f t="shared" si="0"/>
        <v>2.0134479144994137</v>
      </c>
      <c r="N8" s="87" t="s">
        <v>218</v>
      </c>
      <c r="O8" s="87">
        <v>25.200000000000003</v>
      </c>
    </row>
    <row r="9" spans="2:15" ht="19.5" customHeight="1">
      <c r="B9" s="91">
        <v>4</v>
      </c>
      <c r="C9" s="92" t="s">
        <v>71</v>
      </c>
      <c r="D9" s="93">
        <v>1409.8</v>
      </c>
      <c r="E9" s="145">
        <v>30</v>
      </c>
      <c r="F9" s="100">
        <f>D9*E9</f>
        <v>42294</v>
      </c>
      <c r="H9" s="88">
        <v>4</v>
      </c>
      <c r="I9" s="89" t="s">
        <v>153</v>
      </c>
      <c r="J9" s="98">
        <f>смета!E27</f>
        <v>68712.64116733334</v>
      </c>
      <c r="K9" s="94">
        <f t="shared" si="0"/>
        <v>4.6116441352704625</v>
      </c>
      <c r="N9" s="87" t="s">
        <v>71</v>
      </c>
      <c r="O9" s="87">
        <v>1409.8</v>
      </c>
    </row>
    <row r="10" spans="2:11" ht="19.5" customHeight="1">
      <c r="B10" s="91">
        <v>5</v>
      </c>
      <c r="C10" s="92" t="s">
        <v>104</v>
      </c>
      <c r="D10" s="93"/>
      <c r="E10" s="109"/>
      <c r="F10" s="100">
        <v>4000</v>
      </c>
      <c r="H10" s="88">
        <v>5</v>
      </c>
      <c r="I10" s="89" t="s">
        <v>76</v>
      </c>
      <c r="J10" s="98">
        <f>смета!E41</f>
        <v>7500</v>
      </c>
      <c r="K10" s="94">
        <f t="shared" si="0"/>
        <v>0.5033619786248534</v>
      </c>
    </row>
    <row r="11" spans="2:15" ht="19.5" customHeight="1">
      <c r="B11" s="135"/>
      <c r="C11" s="136" t="s">
        <v>74</v>
      </c>
      <c r="D11" s="137">
        <f>SUM(D6:D9)</f>
        <v>15421.699999999999</v>
      </c>
      <c r="E11" s="138"/>
      <c r="F11" s="139">
        <f>SUM(F6:F10)</f>
        <v>525493.5</v>
      </c>
      <c r="H11" s="88">
        <v>6</v>
      </c>
      <c r="I11" s="89" t="s">
        <v>140</v>
      </c>
      <c r="J11" s="98">
        <f>смета!E46</f>
        <v>240</v>
      </c>
      <c r="K11" s="94">
        <f t="shared" si="0"/>
        <v>0.01610758331599531</v>
      </c>
      <c r="N11" s="87" t="s">
        <v>219</v>
      </c>
      <c r="O11" s="87">
        <v>15421.700000000004</v>
      </c>
    </row>
    <row r="12" spans="2:11" ht="19.5" customHeight="1" thickBot="1">
      <c r="B12" s="226" t="s">
        <v>185</v>
      </c>
      <c r="C12" s="227"/>
      <c r="D12" s="140" t="s">
        <v>0</v>
      </c>
      <c r="E12" s="141" t="s">
        <v>2</v>
      </c>
      <c r="F12" s="142" t="s">
        <v>78</v>
      </c>
      <c r="H12" s="90"/>
      <c r="I12" s="99" t="s">
        <v>74</v>
      </c>
      <c r="J12" s="102">
        <f>SUM(J6:J11)</f>
        <v>525493.4936577549</v>
      </c>
      <c r="K12" s="101">
        <f>SUM(K6:K11)</f>
        <v>35.26845929627391</v>
      </c>
    </row>
    <row r="13" spans="4:11" ht="25.5" customHeight="1">
      <c r="D13" s="110"/>
      <c r="K13" s="150"/>
    </row>
    <row r="14" spans="3:11" ht="15.75" hidden="1">
      <c r="C14" s="172" t="s">
        <v>181</v>
      </c>
      <c r="D14" s="174"/>
      <c r="E14" s="174"/>
      <c r="F14" s="213" t="s">
        <v>182</v>
      </c>
      <c r="G14" s="213"/>
      <c r="K14" s="150"/>
    </row>
    <row r="15" spans="3:11" ht="21" customHeight="1" hidden="1">
      <c r="C15" s="173" t="s">
        <v>183</v>
      </c>
      <c r="D15" s="174"/>
      <c r="E15" s="174"/>
      <c r="F15" s="214" t="s">
        <v>184</v>
      </c>
      <c r="G15" s="214"/>
      <c r="K15" s="150"/>
    </row>
    <row r="16" spans="3:11" ht="21" customHeight="1" hidden="1">
      <c r="C16" s="173"/>
      <c r="D16" s="16"/>
      <c r="E16" s="16"/>
      <c r="F16" s="175"/>
      <c r="G16" s="175"/>
      <c r="K16" s="150"/>
    </row>
    <row r="17" spans="3:11" ht="15.75">
      <c r="C17" s="87" t="s">
        <v>147</v>
      </c>
      <c r="D17" s="110">
        <f>SUM(D7:D9)</f>
        <v>3653.2</v>
      </c>
      <c r="K17" s="150"/>
    </row>
    <row r="18" spans="3:6" ht="15.75">
      <c r="C18" s="87" t="s">
        <v>142</v>
      </c>
      <c r="D18" s="110">
        <f>D17*E9/E6</f>
        <v>3131.3142857142857</v>
      </c>
      <c r="F18" s="126" t="s">
        <v>151</v>
      </c>
    </row>
    <row r="19" spans="3:12" ht="15.75" customHeight="1">
      <c r="C19" s="130" t="s">
        <v>92</v>
      </c>
      <c r="D19" s="129">
        <f>D6+D18</f>
        <v>14899.814285714285</v>
      </c>
      <c r="F19" s="217" t="s">
        <v>157</v>
      </c>
      <c r="G19" s="217"/>
      <c r="H19" s="217"/>
      <c r="I19" s="217"/>
      <c r="J19" s="217"/>
      <c r="K19" s="217"/>
      <c r="L19" s="217"/>
    </row>
    <row r="20" spans="3:12" ht="15.75">
      <c r="C20" s="231" t="s">
        <v>106</v>
      </c>
      <c r="D20" s="127" t="s">
        <v>0</v>
      </c>
      <c r="F20" s="217"/>
      <c r="G20" s="217"/>
      <c r="H20" s="217"/>
      <c r="I20" s="217"/>
      <c r="J20" s="217"/>
      <c r="K20" s="217"/>
      <c r="L20" s="217"/>
    </row>
    <row r="21" spans="3:12" ht="15.75">
      <c r="C21" s="232"/>
      <c r="D21" s="128"/>
      <c r="F21" s="217"/>
      <c r="G21" s="217"/>
      <c r="H21" s="217"/>
      <c r="I21" s="217"/>
      <c r="J21" s="217"/>
      <c r="K21" s="217"/>
      <c r="L21" s="217"/>
    </row>
    <row r="22" ht="15.75">
      <c r="I22" s="126"/>
    </row>
    <row r="23" spans="3:10" ht="15.75">
      <c r="C23" s="172" t="s">
        <v>181</v>
      </c>
      <c r="D23" s="174"/>
      <c r="E23" s="174"/>
      <c r="F23" s="174"/>
      <c r="I23" s="269" t="s">
        <v>182</v>
      </c>
      <c r="J23" s="269"/>
    </row>
    <row r="24" spans="3:10" ht="15.75">
      <c r="C24" s="172"/>
      <c r="D24" s="174"/>
      <c r="E24" s="174"/>
      <c r="F24" s="174"/>
      <c r="I24" s="212"/>
      <c r="J24" s="212"/>
    </row>
    <row r="25" spans="3:10" ht="15.75">
      <c r="C25" s="173" t="s">
        <v>183</v>
      </c>
      <c r="D25" s="174"/>
      <c r="E25" s="174"/>
      <c r="F25" s="174"/>
      <c r="I25" s="293" t="s">
        <v>184</v>
      </c>
      <c r="J25" s="293"/>
    </row>
    <row r="26" ht="15.75">
      <c r="I26" s="126"/>
    </row>
    <row r="27" ht="15.75">
      <c r="I27" s="126"/>
    </row>
    <row r="28" spans="3:10" ht="18.75">
      <c r="C28" s="143" t="s">
        <v>108</v>
      </c>
      <c r="F28" s="153">
        <f>F11/J12</f>
        <v>1.0000000120691221</v>
      </c>
      <c r="G28" s="154" t="s">
        <v>201</v>
      </c>
      <c r="H28" s="155"/>
      <c r="I28" s="151"/>
      <c r="J28" s="151"/>
    </row>
    <row r="29" spans="2:10" ht="15.75">
      <c r="B29" s="87" t="s">
        <v>109</v>
      </c>
      <c r="C29" s="126" t="s">
        <v>113</v>
      </c>
      <c r="F29" s="152"/>
      <c r="G29" s="151"/>
      <c r="H29" s="151"/>
      <c r="I29" s="151"/>
      <c r="J29" s="151"/>
    </row>
    <row r="30" spans="2:3" ht="15.75">
      <c r="B30" s="87" t="s">
        <v>110</v>
      </c>
      <c r="C30" s="126" t="s">
        <v>114</v>
      </c>
    </row>
    <row r="31" spans="2:6" ht="15.75">
      <c r="B31" s="87" t="s">
        <v>111</v>
      </c>
      <c r="C31" s="126" t="s">
        <v>115</v>
      </c>
      <c r="F31" s="126" t="s">
        <v>149</v>
      </c>
    </row>
    <row r="32" spans="2:6" ht="15.75">
      <c r="B32" s="87" t="s">
        <v>112</v>
      </c>
      <c r="C32" s="126" t="s">
        <v>116</v>
      </c>
      <c r="F32" s="126" t="s">
        <v>156</v>
      </c>
    </row>
    <row r="33" spans="2:3" ht="15.75">
      <c r="B33" s="87" t="s">
        <v>117</v>
      </c>
      <c r="C33" s="126" t="s">
        <v>118</v>
      </c>
    </row>
    <row r="34" spans="2:11" ht="15.75">
      <c r="B34" s="87" t="s">
        <v>119</v>
      </c>
      <c r="C34" s="126" t="s">
        <v>120</v>
      </c>
      <c r="F34" s="217" t="s">
        <v>150</v>
      </c>
      <c r="G34" s="217"/>
      <c r="H34" s="217"/>
      <c r="I34" s="217"/>
      <c r="J34" s="217"/>
      <c r="K34" s="217"/>
    </row>
    <row r="35" spans="2:11" ht="15.75">
      <c r="B35" s="87" t="s">
        <v>121</v>
      </c>
      <c r="C35" s="126" t="s">
        <v>122</v>
      </c>
      <c r="F35" s="217"/>
      <c r="G35" s="217"/>
      <c r="H35" s="217"/>
      <c r="I35" s="217"/>
      <c r="J35" s="217"/>
      <c r="K35" s="217"/>
    </row>
    <row r="36" spans="2:11" ht="15.75">
      <c r="B36" s="87" t="s">
        <v>123</v>
      </c>
      <c r="C36" s="126" t="s">
        <v>124</v>
      </c>
      <c r="F36" s="217"/>
      <c r="G36" s="217"/>
      <c r="H36" s="217"/>
      <c r="I36" s="217"/>
      <c r="J36" s="217"/>
      <c r="K36" s="217"/>
    </row>
    <row r="37" spans="2:3" ht="15.75">
      <c r="B37" s="87" t="s">
        <v>125</v>
      </c>
      <c r="C37" s="126" t="s">
        <v>126</v>
      </c>
    </row>
    <row r="38" spans="2:6" ht="15.75">
      <c r="B38" s="87" t="s">
        <v>127</v>
      </c>
      <c r="C38" s="126" t="s">
        <v>128</v>
      </c>
      <c r="F38" s="126" t="s">
        <v>155</v>
      </c>
    </row>
    <row r="39" spans="2:3" ht="15.75">
      <c r="B39" s="87" t="s">
        <v>129</v>
      </c>
      <c r="C39" s="126" t="s">
        <v>130</v>
      </c>
    </row>
    <row r="40" spans="2:11" ht="15.75">
      <c r="B40" s="87" t="s">
        <v>131</v>
      </c>
      <c r="C40" s="126" t="s">
        <v>132</v>
      </c>
      <c r="F40" s="217" t="s">
        <v>154</v>
      </c>
      <c r="G40" s="217"/>
      <c r="H40" s="217"/>
      <c r="I40" s="217"/>
      <c r="J40" s="217"/>
      <c r="K40" s="217"/>
    </row>
    <row r="41" spans="2:11" ht="15.75">
      <c r="B41" s="87" t="s">
        <v>133</v>
      </c>
      <c r="C41" s="126" t="s">
        <v>134</v>
      </c>
      <c r="F41" s="217"/>
      <c r="G41" s="217"/>
      <c r="H41" s="217"/>
      <c r="I41" s="217"/>
      <c r="J41" s="217"/>
      <c r="K41" s="217"/>
    </row>
    <row r="42" spans="2:3" ht="15.75">
      <c r="B42" s="87" t="s">
        <v>136</v>
      </c>
      <c r="C42" s="126" t="s">
        <v>137</v>
      </c>
    </row>
    <row r="43" spans="2:3" ht="15.75" customHeight="1">
      <c r="B43" s="87" t="s">
        <v>138</v>
      </c>
      <c r="C43" s="126" t="s">
        <v>139</v>
      </c>
    </row>
    <row r="46" spans="5:7" ht="18.75">
      <c r="E46" s="196" t="s">
        <v>202</v>
      </c>
      <c r="G46" s="126"/>
    </row>
    <row r="47" spans="4:6" ht="15.75">
      <c r="D47" s="204" t="s">
        <v>203</v>
      </c>
      <c r="E47" s="197" t="s">
        <v>105</v>
      </c>
      <c r="F47" s="205" t="s">
        <v>199</v>
      </c>
    </row>
    <row r="48" spans="4:6" ht="15.75">
      <c r="D48" s="201" t="s">
        <v>204</v>
      </c>
      <c r="E48" s="202">
        <v>9.07</v>
      </c>
      <c r="F48" s="203">
        <f>E48*$D$11</f>
        <v>139874.819</v>
      </c>
    </row>
    <row r="49" spans="4:6" ht="15.75">
      <c r="D49" s="201" t="s">
        <v>205</v>
      </c>
      <c r="E49" s="202">
        <v>9.07</v>
      </c>
      <c r="F49" s="203">
        <f>E49*$D$11</f>
        <v>139874.819</v>
      </c>
    </row>
    <row r="50" spans="4:6" ht="15.75">
      <c r="D50" s="201" t="s">
        <v>206</v>
      </c>
      <c r="E50" s="202">
        <v>9.07</v>
      </c>
      <c r="F50" s="203">
        <f>E50*$D$11</f>
        <v>139874.819</v>
      </c>
    </row>
    <row r="51" spans="4:6" ht="15.75">
      <c r="D51" s="201" t="s">
        <v>207</v>
      </c>
      <c r="E51" s="202">
        <v>9.07</v>
      </c>
      <c r="F51" s="203">
        <f aca="true" t="shared" si="1" ref="F51:F56">E51*$D$11</f>
        <v>139874.819</v>
      </c>
    </row>
    <row r="52" spans="4:6" ht="15.75">
      <c r="D52" s="201" t="s">
        <v>208</v>
      </c>
      <c r="E52" s="202">
        <v>9.07</v>
      </c>
      <c r="F52" s="203">
        <f t="shared" si="1"/>
        <v>139874.819</v>
      </c>
    </row>
    <row r="53" spans="4:6" ht="15.75">
      <c r="D53" s="201" t="s">
        <v>209</v>
      </c>
      <c r="E53" s="202">
        <v>9.07</v>
      </c>
      <c r="F53" s="203">
        <f t="shared" si="1"/>
        <v>139874.819</v>
      </c>
    </row>
    <row r="54" spans="4:6" ht="15.75">
      <c r="D54" s="201" t="s">
        <v>210</v>
      </c>
      <c r="E54" s="202">
        <v>9.07</v>
      </c>
      <c r="F54" s="203">
        <f t="shared" si="1"/>
        <v>139874.819</v>
      </c>
    </row>
    <row r="55" spans="4:6" ht="15.75">
      <c r="D55" s="201" t="s">
        <v>211</v>
      </c>
      <c r="E55" s="202">
        <v>9.07</v>
      </c>
      <c r="F55" s="203">
        <f t="shared" si="1"/>
        <v>139874.819</v>
      </c>
    </row>
    <row r="56" spans="4:6" ht="15.75">
      <c r="D56" s="201" t="s">
        <v>212</v>
      </c>
      <c r="E56" s="202">
        <v>9.07</v>
      </c>
      <c r="F56" s="203">
        <f t="shared" si="1"/>
        <v>139874.819</v>
      </c>
    </row>
    <row r="57" spans="4:6" ht="15.75">
      <c r="D57" s="204" t="s">
        <v>213</v>
      </c>
      <c r="E57" s="206"/>
      <c r="F57" s="207">
        <f>SUM(F48:F56)</f>
        <v>1258873.3709999998</v>
      </c>
    </row>
    <row r="58" ht="15.75">
      <c r="F58" s="203">
        <f>F57*0.7</f>
        <v>881211.3596999998</v>
      </c>
    </row>
  </sheetData>
  <sheetProtection/>
  <mergeCells count="14">
    <mergeCell ref="B3:F3"/>
    <mergeCell ref="C20:C21"/>
    <mergeCell ref="I23:J23"/>
    <mergeCell ref="I25:J25"/>
    <mergeCell ref="F14:G14"/>
    <mergeCell ref="F15:G15"/>
    <mergeCell ref="C2:J2"/>
    <mergeCell ref="C1:J1"/>
    <mergeCell ref="F40:K41"/>
    <mergeCell ref="H3:K4"/>
    <mergeCell ref="F34:K36"/>
    <mergeCell ref="B4:E4"/>
    <mergeCell ref="B12:C12"/>
    <mergeCell ref="F19:L2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25"/>
  <sheetViews>
    <sheetView zoomScalePageLayoutView="0" workbookViewId="0" topLeftCell="A14">
      <selection activeCell="A24" sqref="A24:F25"/>
    </sheetView>
  </sheetViews>
  <sheetFormatPr defaultColWidth="10.75390625" defaultRowHeight="12.75"/>
  <cols>
    <col min="1" max="1" width="36.75390625" style="74" customWidth="1"/>
    <col min="2" max="6" width="10.75390625" style="74" customWidth="1"/>
    <col min="7" max="8" width="11.25390625" style="74" customWidth="1"/>
    <col min="9" max="9" width="14.625" style="74" customWidth="1"/>
    <col min="10" max="10" width="11.375" style="74" customWidth="1"/>
    <col min="11" max="11" width="14.75390625" style="16" hidden="1" customWidth="1"/>
    <col min="12" max="12" width="19.25390625" style="16" customWidth="1"/>
    <col min="13" max="14" width="10.375" style="16" customWidth="1"/>
    <col min="15" max="17" width="10.75390625" style="16" customWidth="1"/>
  </cols>
  <sheetData>
    <row r="1" spans="3:11" s="87" customFormat="1" ht="15.75">
      <c r="C1" s="216" t="s">
        <v>187</v>
      </c>
      <c r="D1" s="216"/>
      <c r="E1" s="216"/>
      <c r="F1" s="216"/>
      <c r="G1" s="216"/>
      <c r="H1" s="216"/>
      <c r="I1" s="216"/>
      <c r="J1" s="216"/>
      <c r="K1" s="216"/>
    </row>
    <row r="2" spans="1:10" ht="27" customHeight="1">
      <c r="A2" s="233" t="s">
        <v>178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2" s="49" customFormat="1" ht="16.5" customHeight="1">
      <c r="A3" s="234" t="s">
        <v>179</v>
      </c>
      <c r="B3" s="234"/>
      <c r="C3" s="234"/>
      <c r="D3" s="234"/>
      <c r="E3" s="234"/>
      <c r="F3" s="234"/>
      <c r="G3" s="234"/>
      <c r="H3" s="234"/>
      <c r="I3" s="234"/>
      <c r="J3" s="234"/>
      <c r="K3" s="47"/>
      <c r="L3" s="47"/>
    </row>
    <row r="4" spans="1:12" s="51" customFormat="1" ht="34.5" customHeight="1">
      <c r="A4" s="238" t="s">
        <v>50</v>
      </c>
      <c r="B4" s="50" t="s">
        <v>51</v>
      </c>
      <c r="C4" s="52" t="s">
        <v>86</v>
      </c>
      <c r="D4" s="50" t="s">
        <v>192</v>
      </c>
      <c r="E4" s="52" t="s">
        <v>85</v>
      </c>
      <c r="F4" s="52" t="s">
        <v>191</v>
      </c>
      <c r="G4" s="50" t="s">
        <v>160</v>
      </c>
      <c r="H4" s="50" t="s">
        <v>159</v>
      </c>
      <c r="I4" s="50" t="s">
        <v>88</v>
      </c>
      <c r="J4" s="50" t="s">
        <v>52</v>
      </c>
      <c r="K4" s="50" t="s">
        <v>53</v>
      </c>
      <c r="L4" s="50" t="s">
        <v>54</v>
      </c>
    </row>
    <row r="5" spans="1:12" s="49" customFormat="1" ht="17.25" customHeight="1">
      <c r="A5" s="239"/>
      <c r="B5" s="52" t="s">
        <v>55</v>
      </c>
      <c r="C5" s="79" t="s">
        <v>78</v>
      </c>
      <c r="D5" s="78">
        <v>0.13</v>
      </c>
      <c r="E5" s="79" t="s">
        <v>78</v>
      </c>
      <c r="F5" s="79" t="s">
        <v>78</v>
      </c>
      <c r="G5" s="103">
        <v>0.202</v>
      </c>
      <c r="H5" s="103">
        <v>0</v>
      </c>
      <c r="I5" s="108"/>
      <c r="J5" s="52" t="s">
        <v>57</v>
      </c>
      <c r="K5" s="53"/>
      <c r="L5" s="54"/>
    </row>
    <row r="6" spans="1:16" s="51" customFormat="1" ht="15.75">
      <c r="A6" s="55" t="s">
        <v>58</v>
      </c>
      <c r="B6" s="56"/>
      <c r="C6" s="56"/>
      <c r="D6" s="56"/>
      <c r="E6" s="56"/>
      <c r="F6" s="56"/>
      <c r="G6" s="56"/>
      <c r="H6" s="56"/>
      <c r="I6" s="57">
        <f>SUM(I7:I11)</f>
        <v>186517.24137931035</v>
      </c>
      <c r="J6" s="58">
        <f aca="true" t="shared" si="0" ref="J6:J19">I6/$B$20</f>
        <v>12.518091689111873</v>
      </c>
      <c r="K6" s="59" t="s">
        <v>56</v>
      </c>
      <c r="L6" s="60"/>
      <c r="M6" s="47"/>
      <c r="N6" s="47"/>
      <c r="O6" s="47"/>
      <c r="P6" s="47"/>
    </row>
    <row r="7" spans="1:16" s="51" customFormat="1" ht="15">
      <c r="A7" s="61" t="s">
        <v>216</v>
      </c>
      <c r="B7" s="156">
        <v>0</v>
      </c>
      <c r="C7" s="62">
        <v>0</v>
      </c>
      <c r="D7" s="62">
        <f>C7/0.87</f>
        <v>0</v>
      </c>
      <c r="E7" s="62">
        <f>B7*C7</f>
        <v>0</v>
      </c>
      <c r="F7" s="62">
        <f>I7*$D$5</f>
        <v>0</v>
      </c>
      <c r="G7" s="62">
        <f>I7*$G$5</f>
        <v>0</v>
      </c>
      <c r="H7" s="62"/>
      <c r="I7" s="62">
        <f>E7*$I$5</f>
        <v>0</v>
      </c>
      <c r="J7" s="63">
        <f t="shared" si="0"/>
        <v>0</v>
      </c>
      <c r="K7" s="62">
        <f aca="true" t="shared" si="1" ref="K7:K17">I7/1.13</f>
        <v>0</v>
      </c>
      <c r="L7" s="60" t="s">
        <v>87</v>
      </c>
      <c r="M7" s="47"/>
      <c r="N7" s="47"/>
      <c r="O7" s="47"/>
      <c r="P7" s="47"/>
    </row>
    <row r="8" spans="1:16" s="51" customFormat="1" ht="15">
      <c r="A8" s="61" t="s">
        <v>59</v>
      </c>
      <c r="B8" s="156">
        <v>1</v>
      </c>
      <c r="C8" s="62">
        <v>60000</v>
      </c>
      <c r="D8" s="62">
        <f>C8/0.87</f>
        <v>68965.5172413793</v>
      </c>
      <c r="E8" s="62">
        <f>B8*C8</f>
        <v>60000</v>
      </c>
      <c r="F8" s="62">
        <f>E8/(1-$D$5)</f>
        <v>68965.5172413793</v>
      </c>
      <c r="G8" s="62">
        <f>F8*$G$5</f>
        <v>13931.03448275862</v>
      </c>
      <c r="H8" s="62">
        <f>F8*$H$5</f>
        <v>0</v>
      </c>
      <c r="I8" s="62">
        <f>SUM(F8:H8)</f>
        <v>82896.55172413793</v>
      </c>
      <c r="J8" s="63">
        <f t="shared" si="0"/>
        <v>5.563596306271943</v>
      </c>
      <c r="K8" s="62">
        <f t="shared" si="1"/>
        <v>73359.78028684773</v>
      </c>
      <c r="L8" s="60"/>
      <c r="M8" s="47"/>
      <c r="N8" s="47"/>
      <c r="O8" s="47"/>
      <c r="P8" s="47"/>
    </row>
    <row r="9" spans="1:16" s="51" customFormat="1" ht="15">
      <c r="A9" s="64" t="s">
        <v>141</v>
      </c>
      <c r="B9" s="157">
        <v>1</v>
      </c>
      <c r="C9" s="62">
        <v>30000</v>
      </c>
      <c r="D9" s="62">
        <f aca="true" t="shared" si="2" ref="D9:D18">C9/0.87</f>
        <v>34482.75862068965</v>
      </c>
      <c r="E9" s="62">
        <f>B9*C9</f>
        <v>30000</v>
      </c>
      <c r="F9" s="62">
        <f>E9/(1-$D$5)</f>
        <v>34482.75862068965</v>
      </c>
      <c r="G9" s="62">
        <f>F9*$G$5</f>
        <v>6965.51724137931</v>
      </c>
      <c r="H9" s="62">
        <f aca="true" t="shared" si="3" ref="H9:H18">F9*$H$5</f>
        <v>0</v>
      </c>
      <c r="I9" s="62">
        <f>SUM(F9:H9)</f>
        <v>41448.275862068964</v>
      </c>
      <c r="J9" s="63">
        <f t="shared" si="0"/>
        <v>2.7817981531359717</v>
      </c>
      <c r="K9" s="62">
        <f t="shared" si="1"/>
        <v>36679.890143423865</v>
      </c>
      <c r="L9" s="60"/>
      <c r="M9" s="47"/>
      <c r="N9" s="47"/>
      <c r="O9" s="47"/>
      <c r="P9" s="47"/>
    </row>
    <row r="10" spans="1:16" s="51" customFormat="1" ht="15">
      <c r="A10" s="64" t="s">
        <v>180</v>
      </c>
      <c r="B10" s="157">
        <v>1</v>
      </c>
      <c r="C10" s="62">
        <v>35000</v>
      </c>
      <c r="D10" s="62">
        <f t="shared" si="2"/>
        <v>40229.88505747126</v>
      </c>
      <c r="E10" s="62">
        <f>B10*C10</f>
        <v>35000</v>
      </c>
      <c r="F10" s="62">
        <f>E10/(1-$D$5)</f>
        <v>40229.88505747126</v>
      </c>
      <c r="G10" s="62">
        <f>F10*$G$5</f>
        <v>8126.436781609195</v>
      </c>
      <c r="H10" s="62">
        <f t="shared" si="3"/>
        <v>0</v>
      </c>
      <c r="I10" s="62">
        <f>SUM(F10:H10)</f>
        <v>48356.32183908046</v>
      </c>
      <c r="J10" s="63">
        <f t="shared" si="0"/>
        <v>3.2454311786586336</v>
      </c>
      <c r="K10" s="62"/>
      <c r="L10" s="60"/>
      <c r="M10" s="47"/>
      <c r="N10" s="47"/>
      <c r="O10" s="47"/>
      <c r="P10" s="47"/>
    </row>
    <row r="11" spans="1:14" s="51" customFormat="1" ht="16.5" customHeight="1">
      <c r="A11" s="64" t="s">
        <v>61</v>
      </c>
      <c r="B11" s="169">
        <v>0.5</v>
      </c>
      <c r="C11" s="62">
        <v>20000</v>
      </c>
      <c r="D11" s="62">
        <f t="shared" si="2"/>
        <v>22988.505747126437</v>
      </c>
      <c r="E11" s="62">
        <f>B11*C11</f>
        <v>10000</v>
      </c>
      <c r="F11" s="62">
        <f>E11/(1-$D$5)</f>
        <v>11494.252873563219</v>
      </c>
      <c r="G11" s="62">
        <f>F11*$G$5</f>
        <v>2321.8390804597702</v>
      </c>
      <c r="H11" s="62">
        <f t="shared" si="3"/>
        <v>0</v>
      </c>
      <c r="I11" s="62">
        <f>SUM(F11:H11)</f>
        <v>13816.091954022988</v>
      </c>
      <c r="J11" s="63">
        <f t="shared" si="0"/>
        <v>0.9272660510453239</v>
      </c>
      <c r="K11" s="62">
        <f t="shared" si="1"/>
        <v>12226.630047807956</v>
      </c>
      <c r="L11" s="60" t="s">
        <v>60</v>
      </c>
      <c r="N11" s="47"/>
    </row>
    <row r="12" spans="1:14" s="51" customFormat="1" ht="15.75">
      <c r="A12" s="65" t="s">
        <v>62</v>
      </c>
      <c r="B12" s="158"/>
      <c r="C12" s="159"/>
      <c r="D12" s="159"/>
      <c r="E12" s="159"/>
      <c r="F12" s="159"/>
      <c r="G12" s="159">
        <f>E12*$G$5</f>
        <v>0</v>
      </c>
      <c r="H12" s="159"/>
      <c r="I12" s="66">
        <f>SUM(I13:I19)</f>
        <v>173622.22222222225</v>
      </c>
      <c r="J12" s="81">
        <f t="shared" si="0"/>
        <v>11.652643374802906</v>
      </c>
      <c r="K12" s="66">
        <f t="shared" si="1"/>
        <v>153647.98426745334</v>
      </c>
      <c r="L12" s="65"/>
      <c r="M12" s="47"/>
      <c r="N12" s="47"/>
    </row>
    <row r="13" spans="1:14" s="51" customFormat="1" ht="15">
      <c r="A13" s="67" t="s">
        <v>194</v>
      </c>
      <c r="B13" s="168">
        <v>1</v>
      </c>
      <c r="C13" s="68">
        <v>35000</v>
      </c>
      <c r="D13" s="68">
        <f t="shared" si="2"/>
        <v>40229.88505747126</v>
      </c>
      <c r="E13" s="68">
        <f aca="true" t="shared" si="4" ref="E13:E18">B13*C13</f>
        <v>35000</v>
      </c>
      <c r="F13" s="68">
        <f aca="true" t="shared" si="5" ref="F13:F18">E13/(1-$D$5)</f>
        <v>40229.88505747126</v>
      </c>
      <c r="G13" s="68">
        <f aca="true" t="shared" si="6" ref="G13:G18">F13*$G$5</f>
        <v>8126.436781609195</v>
      </c>
      <c r="H13" s="68">
        <f t="shared" si="3"/>
        <v>0</v>
      </c>
      <c r="I13" s="68">
        <f aca="true" t="shared" si="7" ref="I13:I18">SUM(F13:H13)</f>
        <v>48356.32183908046</v>
      </c>
      <c r="J13" s="82">
        <f t="shared" si="0"/>
        <v>3.2454311786586336</v>
      </c>
      <c r="K13" s="69">
        <f t="shared" si="1"/>
        <v>42793.20516732785</v>
      </c>
      <c r="L13" s="70" t="s">
        <v>60</v>
      </c>
      <c r="M13" s="47"/>
      <c r="N13" s="47"/>
    </row>
    <row r="14" spans="1:16" s="51" customFormat="1" ht="15">
      <c r="A14" s="67" t="s">
        <v>193</v>
      </c>
      <c r="B14" s="168">
        <v>0.5</v>
      </c>
      <c r="C14" s="68">
        <v>30000</v>
      </c>
      <c r="D14" s="68">
        <f t="shared" si="2"/>
        <v>34482.75862068965</v>
      </c>
      <c r="E14" s="68">
        <f t="shared" si="4"/>
        <v>15000</v>
      </c>
      <c r="F14" s="68">
        <f t="shared" si="5"/>
        <v>17241.379310344826</v>
      </c>
      <c r="G14" s="68">
        <f t="shared" si="6"/>
        <v>3482.758620689655</v>
      </c>
      <c r="H14" s="68">
        <f t="shared" si="3"/>
        <v>0</v>
      </c>
      <c r="I14" s="68">
        <f t="shared" si="7"/>
        <v>20724.137931034482</v>
      </c>
      <c r="J14" s="82">
        <f t="shared" si="0"/>
        <v>1.3908990765679858</v>
      </c>
      <c r="K14" s="69">
        <f t="shared" si="1"/>
        <v>18339.945071711933</v>
      </c>
      <c r="L14" s="70" t="s">
        <v>60</v>
      </c>
      <c r="M14" s="47"/>
      <c r="N14" s="47"/>
      <c r="O14" s="47"/>
      <c r="P14" s="47"/>
    </row>
    <row r="15" spans="1:16" s="51" customFormat="1" ht="15">
      <c r="A15" s="67" t="s">
        <v>148</v>
      </c>
      <c r="B15" s="168">
        <v>0</v>
      </c>
      <c r="C15" s="68">
        <v>30000</v>
      </c>
      <c r="D15" s="68">
        <f t="shared" si="2"/>
        <v>34482.75862068965</v>
      </c>
      <c r="E15" s="68">
        <f t="shared" si="4"/>
        <v>0</v>
      </c>
      <c r="F15" s="68">
        <f t="shared" si="5"/>
        <v>0</v>
      </c>
      <c r="G15" s="68">
        <f t="shared" si="6"/>
        <v>0</v>
      </c>
      <c r="H15" s="68">
        <f t="shared" si="3"/>
        <v>0</v>
      </c>
      <c r="I15" s="68">
        <f t="shared" si="7"/>
        <v>0</v>
      </c>
      <c r="J15" s="82">
        <f t="shared" si="0"/>
        <v>0</v>
      </c>
      <c r="K15" s="69">
        <f t="shared" si="1"/>
        <v>0</v>
      </c>
      <c r="L15" s="70" t="s">
        <v>143</v>
      </c>
      <c r="M15" s="47"/>
      <c r="N15" s="47"/>
      <c r="O15" s="47"/>
      <c r="P15" s="47"/>
    </row>
    <row r="16" spans="1:16" s="51" customFormat="1" ht="15">
      <c r="A16" s="67" t="s">
        <v>63</v>
      </c>
      <c r="B16" s="168">
        <v>1</v>
      </c>
      <c r="C16" s="71">
        <v>26000</v>
      </c>
      <c r="D16" s="68">
        <f t="shared" si="2"/>
        <v>29885.05747126437</v>
      </c>
      <c r="E16" s="68">
        <f t="shared" si="4"/>
        <v>26000</v>
      </c>
      <c r="F16" s="68">
        <f t="shared" si="5"/>
        <v>29885.05747126437</v>
      </c>
      <c r="G16" s="68">
        <f t="shared" si="6"/>
        <v>6036.781609195403</v>
      </c>
      <c r="H16" s="68">
        <f t="shared" si="3"/>
        <v>0</v>
      </c>
      <c r="I16" s="68">
        <f t="shared" si="7"/>
        <v>35921.83908045977</v>
      </c>
      <c r="J16" s="82">
        <f t="shared" si="0"/>
        <v>2.4108917327178423</v>
      </c>
      <c r="K16" s="69">
        <f t="shared" si="1"/>
        <v>31789.238124300686</v>
      </c>
      <c r="L16" s="70"/>
      <c r="M16" s="47"/>
      <c r="N16" s="47"/>
      <c r="O16" s="47"/>
      <c r="P16" s="47"/>
    </row>
    <row r="17" spans="1:16" s="51" customFormat="1" ht="15">
      <c r="A17" s="67" t="s">
        <v>64</v>
      </c>
      <c r="B17" s="168">
        <v>1</v>
      </c>
      <c r="C17" s="71">
        <v>30000</v>
      </c>
      <c r="D17" s="68">
        <f t="shared" si="2"/>
        <v>34482.75862068965</v>
      </c>
      <c r="E17" s="68">
        <f t="shared" si="4"/>
        <v>30000</v>
      </c>
      <c r="F17" s="68">
        <f t="shared" si="5"/>
        <v>34482.75862068965</v>
      </c>
      <c r="G17" s="68">
        <f t="shared" si="6"/>
        <v>6965.51724137931</v>
      </c>
      <c r="H17" s="68">
        <f t="shared" si="3"/>
        <v>0</v>
      </c>
      <c r="I17" s="68">
        <f t="shared" si="7"/>
        <v>41448.275862068964</v>
      </c>
      <c r="J17" s="82">
        <f t="shared" si="0"/>
        <v>2.7817981531359717</v>
      </c>
      <c r="K17" s="69">
        <f t="shared" si="1"/>
        <v>36679.890143423865</v>
      </c>
      <c r="L17" s="70"/>
      <c r="M17" s="47"/>
      <c r="N17" s="47"/>
      <c r="O17" s="47"/>
      <c r="P17" s="47"/>
    </row>
    <row r="18" spans="1:17" ht="15" customHeight="1">
      <c r="A18" s="67" t="s">
        <v>84</v>
      </c>
      <c r="B18" s="168">
        <v>0.5</v>
      </c>
      <c r="C18" s="71">
        <v>20000</v>
      </c>
      <c r="D18" s="68">
        <f t="shared" si="2"/>
        <v>22988.505747126437</v>
      </c>
      <c r="E18" s="68">
        <f t="shared" si="4"/>
        <v>10000</v>
      </c>
      <c r="F18" s="68">
        <f t="shared" si="5"/>
        <v>11494.252873563219</v>
      </c>
      <c r="G18" s="68">
        <f t="shared" si="6"/>
        <v>2321.8390804597702</v>
      </c>
      <c r="H18" s="68">
        <f t="shared" si="3"/>
        <v>0</v>
      </c>
      <c r="I18" s="68">
        <f t="shared" si="7"/>
        <v>13816.091954022988</v>
      </c>
      <c r="J18" s="82">
        <f t="shared" si="0"/>
        <v>0.9272660510453239</v>
      </c>
      <c r="K18" s="69">
        <f>I18/1.13</f>
        <v>12226.630047807956</v>
      </c>
      <c r="L18" s="70" t="s">
        <v>60</v>
      </c>
      <c r="P18"/>
      <c r="Q18"/>
    </row>
    <row r="19" spans="1:16" s="49" customFormat="1" ht="15.75">
      <c r="A19" s="104" t="s">
        <v>65</v>
      </c>
      <c r="B19" s="181">
        <f>SUM(B13:B18)</f>
        <v>4</v>
      </c>
      <c r="C19" s="105"/>
      <c r="D19" s="160"/>
      <c r="E19" s="160"/>
      <c r="F19" s="105">
        <f>SUM(I13:I18)</f>
        <v>160266.6666666667</v>
      </c>
      <c r="G19" s="105"/>
      <c r="H19" s="105"/>
      <c r="I19" s="170">
        <f>F19/12</f>
        <v>13355.555555555557</v>
      </c>
      <c r="J19" s="171">
        <f t="shared" si="0"/>
        <v>0.8963571826771465</v>
      </c>
      <c r="K19" s="106"/>
      <c r="L19" s="107" t="s">
        <v>94</v>
      </c>
      <c r="M19" s="48"/>
      <c r="N19" s="48"/>
      <c r="O19" s="48"/>
      <c r="P19" s="48"/>
    </row>
    <row r="20" spans="1:15" s="49" customFormat="1" ht="15.75">
      <c r="A20" s="83" t="s">
        <v>66</v>
      </c>
      <c r="B20" s="235">
        <f>Баланс!D19</f>
        <v>14899.814285714285</v>
      </c>
      <c r="C20" s="236"/>
      <c r="D20" s="236"/>
      <c r="E20" s="236"/>
      <c r="F20" s="237"/>
      <c r="G20" s="161"/>
      <c r="H20" s="161"/>
      <c r="I20" s="162">
        <f>I6+I12</f>
        <v>360139.4636015326</v>
      </c>
      <c r="J20" s="163">
        <f>I20/B20</f>
        <v>24.17073506391478</v>
      </c>
      <c r="K20" s="72"/>
      <c r="L20" s="73"/>
      <c r="M20" s="48"/>
      <c r="N20" s="48"/>
      <c r="O20" s="48"/>
    </row>
    <row r="21" spans="1:12" ht="18">
      <c r="A21" s="149" t="s">
        <v>177</v>
      </c>
      <c r="B21" s="75">
        <f>SUM(B7:B18)</f>
        <v>7.5</v>
      </c>
      <c r="E21" s="240" t="s">
        <v>176</v>
      </c>
      <c r="F21" s="241"/>
      <c r="G21" s="242"/>
      <c r="I21" s="292" t="s">
        <v>222</v>
      </c>
      <c r="J21" s="180"/>
      <c r="K21" s="174"/>
      <c r="L21" s="174"/>
    </row>
    <row r="22" ht="18">
      <c r="H22" s="76"/>
    </row>
    <row r="23" ht="18">
      <c r="I23" s="80"/>
    </row>
    <row r="24" spans="1:7" ht="18">
      <c r="A24" s="172" t="s">
        <v>181</v>
      </c>
      <c r="B24" s="174"/>
      <c r="C24" s="174"/>
      <c r="D24" s="16"/>
      <c r="E24" s="213" t="s">
        <v>182</v>
      </c>
      <c r="F24" s="213"/>
      <c r="G24"/>
    </row>
    <row r="25" spans="1:7" ht="26.25" customHeight="1">
      <c r="A25" s="173" t="s">
        <v>183</v>
      </c>
      <c r="B25" s="174"/>
      <c r="C25" s="174"/>
      <c r="D25" s="16"/>
      <c r="E25" s="214" t="s">
        <v>184</v>
      </c>
      <c r="F25" s="214"/>
      <c r="G25"/>
    </row>
  </sheetData>
  <sheetProtection/>
  <mergeCells count="8">
    <mergeCell ref="A2:J2"/>
    <mergeCell ref="E24:F24"/>
    <mergeCell ref="E25:F25"/>
    <mergeCell ref="C1:K1"/>
    <mergeCell ref="A3:J3"/>
    <mergeCell ref="B20:F20"/>
    <mergeCell ref="A4:A5"/>
    <mergeCell ref="E21:G21"/>
  </mergeCells>
  <printOptions/>
  <pageMargins left="0.4724409448818898" right="0.3937007874015748" top="0.6692913385826772" bottom="0.3937007874015748" header="0.2755905511811024" footer="0.5118110236220472"/>
  <pageSetup fitToHeight="1" fitToWidth="1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5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9" sqref="A19:D19"/>
    </sheetView>
  </sheetViews>
  <sheetFormatPr defaultColWidth="21.875" defaultRowHeight="12.75"/>
  <cols>
    <col min="1" max="1" width="18.375" style="0" customWidth="1"/>
    <col min="2" max="2" width="8.25390625" style="0" customWidth="1"/>
    <col min="3" max="3" width="5.875" style="0" customWidth="1"/>
    <col min="4" max="4" width="16.375" style="0" customWidth="1"/>
    <col min="5" max="5" width="15.75390625" style="0" customWidth="1"/>
    <col min="6" max="6" width="10.625" style="0" customWidth="1"/>
    <col min="7" max="7" width="24.00390625" style="0" customWidth="1"/>
    <col min="8" max="8" width="17.75390625" style="0" customWidth="1"/>
    <col min="9" max="9" width="11.00390625" style="0" customWidth="1"/>
    <col min="10" max="10" width="12.25390625" style="0" customWidth="1"/>
    <col min="11" max="11" width="12.00390625" style="0" customWidth="1"/>
    <col min="12" max="12" width="11.375" style="0" customWidth="1"/>
    <col min="13" max="13" width="13.25390625" style="0" customWidth="1"/>
    <col min="14" max="14" width="22.00390625" style="0" customWidth="1"/>
    <col min="15" max="15" width="12.125" style="0" customWidth="1"/>
  </cols>
  <sheetData>
    <row r="1" spans="1:10" s="87" customFormat="1" ht="15.75">
      <c r="A1" s="243" t="s">
        <v>190</v>
      </c>
      <c r="B1" s="243"/>
      <c r="C1" s="243"/>
      <c r="D1" s="243"/>
      <c r="E1" s="243"/>
      <c r="F1" s="243"/>
      <c r="G1" s="243"/>
      <c r="H1" s="179"/>
      <c r="I1" s="179"/>
      <c r="J1" s="179"/>
    </row>
    <row r="2" spans="1:10" s="87" customFormat="1" ht="18.75">
      <c r="A2" s="244" t="s">
        <v>189</v>
      </c>
      <c r="B2" s="244"/>
      <c r="C2" s="244"/>
      <c r="D2" s="244"/>
      <c r="E2" s="244"/>
      <c r="F2" s="244"/>
      <c r="G2" s="244"/>
      <c r="H2" s="179"/>
      <c r="I2" s="179"/>
      <c r="J2" s="179"/>
    </row>
    <row r="3" spans="1:7" ht="18.75">
      <c r="A3" s="254">
        <f>Баланс!D19</f>
        <v>14899.814285714285</v>
      </c>
      <c r="B3" s="256" t="s">
        <v>0</v>
      </c>
      <c r="C3" s="258"/>
      <c r="D3" s="1" t="s">
        <v>1</v>
      </c>
      <c r="E3" s="1" t="s">
        <v>1</v>
      </c>
      <c r="F3" s="260" t="s">
        <v>2</v>
      </c>
      <c r="G3" s="252" t="s">
        <v>3</v>
      </c>
    </row>
    <row r="4" spans="1:7" ht="15.75" customHeight="1">
      <c r="A4" s="255"/>
      <c r="B4" s="257"/>
      <c r="C4" s="259"/>
      <c r="D4" s="2" t="s">
        <v>4</v>
      </c>
      <c r="E4" s="2" t="s">
        <v>5</v>
      </c>
      <c r="F4" s="261"/>
      <c r="G4" s="253"/>
    </row>
    <row r="5" spans="1:7" ht="18.75">
      <c r="A5" s="270" t="s">
        <v>6</v>
      </c>
      <c r="B5" s="271"/>
      <c r="C5" s="272"/>
      <c r="D5" s="3">
        <f>E5*12</f>
        <v>4321673.5632183915</v>
      </c>
      <c r="E5" s="4">
        <f>ФОТ!I20</f>
        <v>360139.4636015326</v>
      </c>
      <c r="F5" s="4">
        <f>E5/$A$3</f>
        <v>24.17073506391478</v>
      </c>
      <c r="G5" s="5">
        <f>E5/E47</f>
        <v>0.6853357233687949</v>
      </c>
    </row>
    <row r="6" spans="1:8" ht="18.75">
      <c r="A6" s="247" t="s">
        <v>7</v>
      </c>
      <c r="B6" s="248"/>
      <c r="C6" s="248"/>
      <c r="D6" s="248"/>
      <c r="E6" s="6">
        <f>SUM(E7:E18)</f>
        <v>58901.38888888888</v>
      </c>
      <c r="F6" s="6">
        <f>E6/A3</f>
        <v>3.953162620648409</v>
      </c>
      <c r="G6" s="7"/>
      <c r="H6" s="84"/>
    </row>
    <row r="7" spans="1:9" ht="15.75">
      <c r="A7" s="282" t="s">
        <v>8</v>
      </c>
      <c r="B7" s="282"/>
      <c r="C7" s="282"/>
      <c r="D7" s="8">
        <f>H7</f>
        <v>84000</v>
      </c>
      <c r="E7" s="8">
        <f>D7/12</f>
        <v>7000</v>
      </c>
      <c r="F7" s="8">
        <f aca="true" t="shared" si="0" ref="F7:F18">E7/$A$3</f>
        <v>0.46980451338319656</v>
      </c>
      <c r="G7" s="111" t="s">
        <v>95</v>
      </c>
      <c r="H7" s="77">
        <f>12*4500+30000</f>
        <v>84000</v>
      </c>
      <c r="I7" t="s">
        <v>135</v>
      </c>
    </row>
    <row r="8" spans="1:10" ht="15.75">
      <c r="A8" s="246" t="s">
        <v>9</v>
      </c>
      <c r="B8" s="246"/>
      <c r="C8" s="246"/>
      <c r="D8" s="9">
        <f>H8/3</f>
        <v>26666.666666666668</v>
      </c>
      <c r="E8" s="9">
        <f>D8/12</f>
        <v>2222.222222222222</v>
      </c>
      <c r="F8" s="9">
        <f t="shared" si="0"/>
        <v>0.14914428996291954</v>
      </c>
      <c r="G8" s="10" t="s">
        <v>10</v>
      </c>
      <c r="H8" s="9">
        <v>80000</v>
      </c>
      <c r="I8" t="s">
        <v>101</v>
      </c>
      <c r="J8" s="11"/>
    </row>
    <row r="9" spans="1:11" ht="15.75">
      <c r="A9" s="246" t="s">
        <v>11</v>
      </c>
      <c r="B9" s="246"/>
      <c r="C9" s="246"/>
      <c r="D9" s="9">
        <v>0</v>
      </c>
      <c r="E9" s="9">
        <f aca="true" t="shared" si="1" ref="E9:E18">D9/12</f>
        <v>0</v>
      </c>
      <c r="F9" s="9">
        <f t="shared" si="0"/>
        <v>0</v>
      </c>
      <c r="G9" s="10" t="s">
        <v>12</v>
      </c>
      <c r="H9" s="9">
        <v>99000</v>
      </c>
      <c r="I9" s="12"/>
      <c r="J9" s="12"/>
      <c r="K9" s="12"/>
    </row>
    <row r="10" spans="1:8" ht="15.75" customHeight="1">
      <c r="A10" s="246" t="s">
        <v>13</v>
      </c>
      <c r="B10" s="246"/>
      <c r="C10" s="246"/>
      <c r="D10" s="9">
        <v>150000</v>
      </c>
      <c r="E10" s="9">
        <f t="shared" si="1"/>
        <v>12500</v>
      </c>
      <c r="F10" s="9">
        <f>E10/$A$3</f>
        <v>0.8389366310414225</v>
      </c>
      <c r="G10" s="10"/>
      <c r="H10" s="13"/>
    </row>
    <row r="11" spans="1:8" ht="15.75">
      <c r="A11" s="246" t="s">
        <v>164</v>
      </c>
      <c r="B11" s="246"/>
      <c r="C11" s="246"/>
      <c r="D11" s="9">
        <v>120000</v>
      </c>
      <c r="E11" s="9">
        <f t="shared" si="1"/>
        <v>10000</v>
      </c>
      <c r="F11" s="9">
        <f t="shared" si="0"/>
        <v>0.671149304833138</v>
      </c>
      <c r="G11" s="10"/>
      <c r="H11" s="13"/>
    </row>
    <row r="12" spans="1:12" ht="15.75">
      <c r="A12" s="246" t="s">
        <v>14</v>
      </c>
      <c r="B12" s="246"/>
      <c r="C12" s="246"/>
      <c r="D12" s="9">
        <v>60000</v>
      </c>
      <c r="E12" s="9">
        <f t="shared" si="1"/>
        <v>5000</v>
      </c>
      <c r="F12" s="9">
        <f t="shared" si="0"/>
        <v>0.335574652416569</v>
      </c>
      <c r="G12" s="10"/>
      <c r="H12" s="14"/>
      <c r="I12" s="112" t="s">
        <v>15</v>
      </c>
      <c r="J12" s="113" t="s">
        <v>16</v>
      </c>
      <c r="K12" s="114" t="s">
        <v>17</v>
      </c>
      <c r="L12" s="113" t="s">
        <v>18</v>
      </c>
    </row>
    <row r="13" spans="1:12" ht="15.75">
      <c r="A13" s="246" t="s">
        <v>19</v>
      </c>
      <c r="B13" s="246"/>
      <c r="C13" s="246"/>
      <c r="D13" s="9">
        <f>L13*4</f>
        <v>24000</v>
      </c>
      <c r="E13" s="9">
        <f t="shared" si="1"/>
        <v>2000</v>
      </c>
      <c r="F13" s="9">
        <f t="shared" si="0"/>
        <v>0.1342298609666276</v>
      </c>
      <c r="G13" s="10" t="s">
        <v>26</v>
      </c>
      <c r="H13" s="13"/>
      <c r="I13" s="115">
        <v>2500</v>
      </c>
      <c r="J13" s="116">
        <v>2000</v>
      </c>
      <c r="K13" s="117">
        <v>1500</v>
      </c>
      <c r="L13" s="117">
        <f>SUM(I13:K13)</f>
        <v>6000</v>
      </c>
    </row>
    <row r="14" spans="1:12" ht="15.75">
      <c r="A14" s="246" t="s">
        <v>20</v>
      </c>
      <c r="B14" s="246"/>
      <c r="C14" s="246"/>
      <c r="D14" s="9">
        <v>12000</v>
      </c>
      <c r="E14" s="9">
        <f t="shared" si="1"/>
        <v>1000</v>
      </c>
      <c r="F14" s="9">
        <f t="shared" si="0"/>
        <v>0.0671149304833138</v>
      </c>
      <c r="G14" s="10"/>
      <c r="H14" s="14"/>
      <c r="I14" s="112" t="s">
        <v>21</v>
      </c>
      <c r="J14" s="113" t="s">
        <v>22</v>
      </c>
      <c r="K14" s="114" t="s">
        <v>23</v>
      </c>
      <c r="L14" s="114" t="s">
        <v>96</v>
      </c>
    </row>
    <row r="15" spans="1:8" ht="15.75">
      <c r="A15" s="246" t="s">
        <v>24</v>
      </c>
      <c r="B15" s="246"/>
      <c r="C15" s="246"/>
      <c r="D15" s="9">
        <v>60000</v>
      </c>
      <c r="E15" s="9">
        <f t="shared" si="1"/>
        <v>5000</v>
      </c>
      <c r="F15" s="9">
        <f t="shared" si="0"/>
        <v>0.335574652416569</v>
      </c>
      <c r="G15" s="10"/>
      <c r="H15" s="13"/>
    </row>
    <row r="16" spans="1:9" ht="15.75">
      <c r="A16" s="246" t="s">
        <v>25</v>
      </c>
      <c r="B16" s="246"/>
      <c r="C16" s="246"/>
      <c r="D16" s="9">
        <f>H16*8</f>
        <v>28000</v>
      </c>
      <c r="E16" s="9">
        <f t="shared" si="1"/>
        <v>2333.3333333333335</v>
      </c>
      <c r="F16" s="9">
        <f t="shared" si="0"/>
        <v>0.15660150446106552</v>
      </c>
      <c r="G16" s="10" t="s">
        <v>165</v>
      </c>
      <c r="H16" s="13">
        <v>3500</v>
      </c>
      <c r="I16" s="15" t="s">
        <v>97</v>
      </c>
    </row>
    <row r="17" spans="1:8" ht="15.75">
      <c r="A17" s="249" t="s">
        <v>27</v>
      </c>
      <c r="B17" s="249"/>
      <c r="C17" s="249"/>
      <c r="D17" s="9">
        <v>35000</v>
      </c>
      <c r="E17" s="9">
        <f t="shared" si="1"/>
        <v>2916.6666666666665</v>
      </c>
      <c r="F17" s="9">
        <f t="shared" si="0"/>
        <v>0.1957518805763319</v>
      </c>
      <c r="G17" s="17" t="s">
        <v>146</v>
      </c>
      <c r="H17" s="13"/>
    </row>
    <row r="18" spans="1:9" ht="15.75" customHeight="1">
      <c r="A18" s="249" t="s">
        <v>30</v>
      </c>
      <c r="B18" s="249"/>
      <c r="C18" s="249"/>
      <c r="D18" s="18">
        <v>107150</v>
      </c>
      <c r="E18" s="9">
        <f t="shared" si="1"/>
        <v>8929.166666666666</v>
      </c>
      <c r="F18" s="18">
        <f t="shared" si="0"/>
        <v>0.599280400107256</v>
      </c>
      <c r="G18" s="17" t="s">
        <v>162</v>
      </c>
      <c r="H18" s="9">
        <f>SUM(F7:F18)</f>
        <v>3.9531626206484094</v>
      </c>
      <c r="I18" s="19"/>
    </row>
    <row r="19" spans="1:8" ht="18.75">
      <c r="A19" s="285" t="s">
        <v>31</v>
      </c>
      <c r="B19" s="286"/>
      <c r="C19" s="286"/>
      <c r="D19" s="286"/>
      <c r="E19" s="20">
        <f>SUM(E20:E26)</f>
        <v>30000</v>
      </c>
      <c r="F19" s="20">
        <f>E19/A3</f>
        <v>2.0134479144994137</v>
      </c>
      <c r="G19" s="21" t="s">
        <v>32</v>
      </c>
      <c r="H19" s="85"/>
    </row>
    <row r="20" spans="1:8" ht="15.75">
      <c r="A20" s="284" t="s">
        <v>89</v>
      </c>
      <c r="B20" s="284"/>
      <c r="C20" s="284"/>
      <c r="D20" s="22">
        <v>0</v>
      </c>
      <c r="E20" s="22">
        <f>D20/12</f>
        <v>0</v>
      </c>
      <c r="F20" s="22">
        <f>E20/$A$3</f>
        <v>0</v>
      </c>
      <c r="G20" s="23" t="s">
        <v>221</v>
      </c>
      <c r="H20" s="85"/>
    </row>
    <row r="21" spans="1:8" ht="15.75">
      <c r="A21" s="284" t="s">
        <v>33</v>
      </c>
      <c r="B21" s="284"/>
      <c r="C21" s="284"/>
      <c r="D21" s="22">
        <v>60000</v>
      </c>
      <c r="E21" s="22">
        <f aca="true" t="shared" si="2" ref="E21:E26">D21/12</f>
        <v>5000</v>
      </c>
      <c r="F21" s="22">
        <f aca="true" t="shared" si="3" ref="F21:F26">E21/$A$3</f>
        <v>0.335574652416569</v>
      </c>
      <c r="G21" s="23"/>
      <c r="H21" s="85"/>
    </row>
    <row r="22" spans="1:11" ht="15.75">
      <c r="A22" s="245" t="s">
        <v>34</v>
      </c>
      <c r="B22" s="245"/>
      <c r="C22" s="245"/>
      <c r="D22" s="22">
        <v>90000</v>
      </c>
      <c r="E22" s="22">
        <f t="shared" si="2"/>
        <v>7500</v>
      </c>
      <c r="F22" s="24">
        <f t="shared" si="3"/>
        <v>0.5033619786248534</v>
      </c>
      <c r="G22" s="23"/>
      <c r="H22" s="25"/>
      <c r="K22" s="19"/>
    </row>
    <row r="23" spans="1:8" ht="15.75">
      <c r="A23" s="245" t="s">
        <v>35</v>
      </c>
      <c r="B23" s="245"/>
      <c r="C23" s="245"/>
      <c r="D23" s="24">
        <v>60000</v>
      </c>
      <c r="E23" s="22">
        <f t="shared" si="2"/>
        <v>5000</v>
      </c>
      <c r="F23" s="24">
        <f t="shared" si="3"/>
        <v>0.335574652416569</v>
      </c>
      <c r="G23" s="23"/>
      <c r="H23" s="26"/>
    </row>
    <row r="24" spans="1:8" ht="15.75">
      <c r="A24" s="245" t="s">
        <v>36</v>
      </c>
      <c r="B24" s="245"/>
      <c r="C24" s="245"/>
      <c r="D24" s="24">
        <v>30000</v>
      </c>
      <c r="E24" s="22">
        <f t="shared" si="2"/>
        <v>2500</v>
      </c>
      <c r="F24" s="24">
        <f t="shared" si="3"/>
        <v>0.1677873262082845</v>
      </c>
      <c r="G24" s="23"/>
      <c r="H24" s="27"/>
    </row>
    <row r="25" spans="1:8" ht="15.75">
      <c r="A25" s="245" t="s">
        <v>37</v>
      </c>
      <c r="B25" s="245"/>
      <c r="C25" s="245"/>
      <c r="D25" s="24">
        <v>60000</v>
      </c>
      <c r="E25" s="22">
        <f t="shared" si="2"/>
        <v>5000</v>
      </c>
      <c r="F25" s="24">
        <f t="shared" si="3"/>
        <v>0.335574652416569</v>
      </c>
      <c r="G25" s="176" t="s">
        <v>98</v>
      </c>
      <c r="H25" s="85"/>
    </row>
    <row r="26" spans="1:8" ht="15.75" customHeight="1">
      <c r="A26" s="245" t="s">
        <v>38</v>
      </c>
      <c r="B26" s="245"/>
      <c r="C26" s="245"/>
      <c r="D26" s="24">
        <v>60000</v>
      </c>
      <c r="E26" s="22">
        <f t="shared" si="2"/>
        <v>5000</v>
      </c>
      <c r="F26" s="24">
        <f t="shared" si="3"/>
        <v>0.335574652416569</v>
      </c>
      <c r="G26" s="23"/>
      <c r="H26" s="86">
        <f>SUM(F21:F26)</f>
        <v>2.0134479144994137</v>
      </c>
    </row>
    <row r="27" spans="1:11" ht="19.5" thickBot="1">
      <c r="A27" s="289" t="s">
        <v>39</v>
      </c>
      <c r="B27" s="290"/>
      <c r="C27" s="290"/>
      <c r="D27" s="291"/>
      <c r="E27" s="28">
        <f>SUM(E28:E40)</f>
        <v>68712.64116733334</v>
      </c>
      <c r="F27" s="28">
        <f>E27/A3</f>
        <v>4.6116441352704625</v>
      </c>
      <c r="G27" s="29"/>
      <c r="H27" s="30">
        <f>SUM(F28:F30)</f>
        <v>0.34452330981434415</v>
      </c>
      <c r="I27" s="31" t="s">
        <v>40</v>
      </c>
      <c r="J27" s="19"/>
      <c r="K27" s="19"/>
    </row>
    <row r="28" spans="1:11" ht="15.75">
      <c r="A28" s="250" t="s">
        <v>41</v>
      </c>
      <c r="B28" s="250"/>
      <c r="C28" s="250"/>
      <c r="D28" s="32">
        <v>0</v>
      </c>
      <c r="E28" s="34">
        <f aca="true" t="shared" si="4" ref="E28:E34">D28/12</f>
        <v>0</v>
      </c>
      <c r="F28" s="33">
        <f aca="true" t="shared" si="5" ref="F28:F40">E28/$A$3</f>
        <v>0</v>
      </c>
      <c r="G28" s="123" t="s">
        <v>44</v>
      </c>
      <c r="H28" s="19">
        <v>61254</v>
      </c>
      <c r="J28" s="19"/>
      <c r="K28" s="19"/>
    </row>
    <row r="29" spans="1:11" ht="15.75" customHeight="1">
      <c r="A29" s="283" t="s">
        <v>145</v>
      </c>
      <c r="B29" s="283"/>
      <c r="C29" s="283"/>
      <c r="D29" s="34">
        <f>H29*7</f>
        <v>45500</v>
      </c>
      <c r="E29" s="34">
        <f t="shared" si="4"/>
        <v>3791.6666666666665</v>
      </c>
      <c r="F29" s="35">
        <f t="shared" si="5"/>
        <v>0.25447744474923145</v>
      </c>
      <c r="G29" s="36" t="s">
        <v>198</v>
      </c>
      <c r="H29" s="147">
        <v>6500</v>
      </c>
      <c r="I29" s="147" t="s">
        <v>173</v>
      </c>
      <c r="K29" s="19"/>
    </row>
    <row r="30" spans="1:11" ht="15.75">
      <c r="A30" s="283" t="s">
        <v>42</v>
      </c>
      <c r="B30" s="283"/>
      <c r="C30" s="283"/>
      <c r="D30" s="34">
        <f>H30*7</f>
        <v>16100</v>
      </c>
      <c r="E30" s="34">
        <f t="shared" si="4"/>
        <v>1341.6666666666667</v>
      </c>
      <c r="F30" s="35">
        <f t="shared" si="5"/>
        <v>0.09004586506511268</v>
      </c>
      <c r="G30" s="36" t="s">
        <v>198</v>
      </c>
      <c r="H30" s="148">
        <v>2300</v>
      </c>
      <c r="I30" s="147" t="s">
        <v>173</v>
      </c>
      <c r="J30" s="190"/>
      <c r="K30" s="19"/>
    </row>
    <row r="31" spans="1:13" ht="15" customHeight="1">
      <c r="A31" s="250" t="s">
        <v>214</v>
      </c>
      <c r="B31" s="250"/>
      <c r="C31" s="250"/>
      <c r="D31" s="32">
        <v>23305.71</v>
      </c>
      <c r="E31" s="34">
        <f t="shared" si="4"/>
        <v>1942.1425</v>
      </c>
      <c r="F31" s="32">
        <f t="shared" si="5"/>
        <v>0.13034675887618927</v>
      </c>
      <c r="G31" s="36" t="s">
        <v>198</v>
      </c>
      <c r="I31" s="209"/>
      <c r="J31" s="190"/>
      <c r="K31" s="198">
        <v>23305</v>
      </c>
      <c r="L31" s="199">
        <v>22500</v>
      </c>
      <c r="M31" s="200">
        <f>L31*12+K31</f>
        <v>293305</v>
      </c>
    </row>
    <row r="32" spans="1:13" ht="15" customHeight="1">
      <c r="A32" s="250" t="s">
        <v>215</v>
      </c>
      <c r="B32" s="250"/>
      <c r="C32" s="250"/>
      <c r="D32" s="32">
        <v>270000</v>
      </c>
      <c r="E32" s="32">
        <f>D32/12</f>
        <v>22500</v>
      </c>
      <c r="F32" s="32">
        <f>E32/$A$3</f>
        <v>1.5100859358745604</v>
      </c>
      <c r="G32" s="36" t="s">
        <v>198</v>
      </c>
      <c r="H32" s="210"/>
      <c r="I32" s="211"/>
      <c r="J32" s="190"/>
      <c r="K32" s="190"/>
      <c r="L32" s="16"/>
      <c r="M32" s="208"/>
    </row>
    <row r="33" spans="1:11" ht="15" customHeight="1">
      <c r="A33" s="250" t="s">
        <v>163</v>
      </c>
      <c r="B33" s="250"/>
      <c r="C33" s="250"/>
      <c r="D33" s="32">
        <v>300000</v>
      </c>
      <c r="E33" s="32">
        <f t="shared" si="4"/>
        <v>25000</v>
      </c>
      <c r="F33" s="32">
        <f t="shared" si="5"/>
        <v>1.677873262082845</v>
      </c>
      <c r="G33" s="36" t="s">
        <v>107</v>
      </c>
      <c r="H33" s="287" t="s">
        <v>144</v>
      </c>
      <c r="I33" s="288"/>
      <c r="J33" s="288"/>
      <c r="K33" s="190"/>
    </row>
    <row r="34" spans="1:11" ht="15.75">
      <c r="A34" s="283" t="s">
        <v>28</v>
      </c>
      <c r="B34" s="283"/>
      <c r="C34" s="283"/>
      <c r="D34" s="34">
        <v>6000</v>
      </c>
      <c r="E34" s="34">
        <f t="shared" si="4"/>
        <v>500</v>
      </c>
      <c r="F34" s="34">
        <f>E34/$A$3</f>
        <v>0.0335574652416569</v>
      </c>
      <c r="G34" s="37" t="s">
        <v>29</v>
      </c>
      <c r="H34" s="32">
        <f>SUM(F28:F40)</f>
        <v>4.6116441352704625</v>
      </c>
      <c r="I34" s="120" t="s">
        <v>90</v>
      </c>
      <c r="J34" s="120" t="s">
        <v>100</v>
      </c>
      <c r="K34" s="120"/>
    </row>
    <row r="35" spans="1:13" ht="15.75">
      <c r="A35" s="265" t="s">
        <v>43</v>
      </c>
      <c r="B35" s="265"/>
      <c r="C35" s="265"/>
      <c r="D35" s="121">
        <f>E35*12</f>
        <v>0</v>
      </c>
      <c r="E35" s="121">
        <v>0</v>
      </c>
      <c r="F35" s="121">
        <f>E35/$A$3</f>
        <v>0</v>
      </c>
      <c r="G35" s="122" t="s">
        <v>44</v>
      </c>
      <c r="H35" s="125">
        <f>I35*J35</f>
        <v>114000</v>
      </c>
      <c r="I35" s="119">
        <v>19</v>
      </c>
      <c r="J35" s="119">
        <v>6000</v>
      </c>
      <c r="K35" s="119" t="s">
        <v>99</v>
      </c>
      <c r="L35" s="118"/>
      <c r="M35" s="146">
        <f>H35/A3</f>
        <v>7.651102075097772</v>
      </c>
    </row>
    <row r="36" spans="1:12" ht="15.75">
      <c r="A36" s="266" t="s">
        <v>175</v>
      </c>
      <c r="B36" s="267"/>
      <c r="C36" s="268"/>
      <c r="D36" s="166"/>
      <c r="E36" s="166">
        <v>0</v>
      </c>
      <c r="F36" s="166">
        <f t="shared" si="5"/>
        <v>0</v>
      </c>
      <c r="G36" s="167" t="s">
        <v>44</v>
      </c>
      <c r="H36" s="188" t="s">
        <v>170</v>
      </c>
      <c r="I36" s="184" t="s">
        <v>197</v>
      </c>
      <c r="J36" s="182" t="s">
        <v>171</v>
      </c>
      <c r="K36" s="185" t="s">
        <v>105</v>
      </c>
      <c r="L36" s="185" t="s">
        <v>199</v>
      </c>
    </row>
    <row r="37" spans="1:12" ht="15.75">
      <c r="A37" s="251" t="s">
        <v>93</v>
      </c>
      <c r="B37" s="251"/>
      <c r="C37" s="251"/>
      <c r="D37" s="164">
        <f>E37*12</f>
        <v>162877.92767999996</v>
      </c>
      <c r="E37" s="164">
        <f>H37*J37*K37</f>
        <v>13573.160639999998</v>
      </c>
      <c r="F37" s="164">
        <f>E37/$A$3</f>
        <v>0.9109617327924509</v>
      </c>
      <c r="G37" s="165" t="s">
        <v>170</v>
      </c>
      <c r="H37" s="189">
        <v>2.88</v>
      </c>
      <c r="I37" s="186" t="s">
        <v>169</v>
      </c>
      <c r="J37" s="183">
        <v>1335.1</v>
      </c>
      <c r="K37" s="187">
        <v>3.53</v>
      </c>
      <c r="L37" s="164">
        <f>E37</f>
        <v>13573.160639999998</v>
      </c>
    </row>
    <row r="38" spans="1:12" ht="15.75">
      <c r="A38" s="251" t="s">
        <v>172</v>
      </c>
      <c r="B38" s="251"/>
      <c r="C38" s="251"/>
      <c r="D38" s="164">
        <f>E38*12</f>
        <v>356.24740319999995</v>
      </c>
      <c r="E38" s="164">
        <f>H38*J38*K38</f>
        <v>29.687283599999997</v>
      </c>
      <c r="F38" s="164">
        <f>E38/$A$3</f>
        <v>0.0019924599750524214</v>
      </c>
      <c r="G38" s="165" t="s">
        <v>170</v>
      </c>
      <c r="H38" s="189">
        <v>0.0012</v>
      </c>
      <c r="I38" s="186" t="s">
        <v>168</v>
      </c>
      <c r="J38" s="183">
        <v>1335.1</v>
      </c>
      <c r="K38" s="187">
        <v>18.53</v>
      </c>
      <c r="L38" s="164">
        <f>E38</f>
        <v>29.687283599999997</v>
      </c>
    </row>
    <row r="39" spans="1:12" ht="15.75">
      <c r="A39" s="251" t="s">
        <v>166</v>
      </c>
      <c r="B39" s="251"/>
      <c r="C39" s="251"/>
      <c r="D39" s="164">
        <f>E39*12</f>
        <v>411.8089248</v>
      </c>
      <c r="E39" s="164">
        <f>H39*J39*K39</f>
        <v>34.3174104</v>
      </c>
      <c r="F39" s="164">
        <f>E39/$A$3</f>
        <v>0.0023032106133633497</v>
      </c>
      <c r="G39" s="165" t="s">
        <v>170</v>
      </c>
      <c r="H39" s="189">
        <v>0.0012</v>
      </c>
      <c r="I39" s="186" t="s">
        <v>168</v>
      </c>
      <c r="J39" s="183">
        <v>1335.1</v>
      </c>
      <c r="K39" s="187">
        <v>21.42</v>
      </c>
      <c r="L39" s="191">
        <f>E39</f>
        <v>34.3174104</v>
      </c>
    </row>
    <row r="40" spans="1:12" ht="15.75">
      <c r="A40" s="251" t="s">
        <v>45</v>
      </c>
      <c r="B40" s="251"/>
      <c r="C40" s="251"/>
      <c r="D40" s="164">
        <f>E40*12</f>
        <v>0</v>
      </c>
      <c r="E40" s="164"/>
      <c r="F40" s="164">
        <f t="shared" si="5"/>
        <v>0</v>
      </c>
      <c r="G40" s="165" t="s">
        <v>167</v>
      </c>
      <c r="H40" s="192"/>
      <c r="I40" s="193"/>
      <c r="J40" s="194" t="s">
        <v>195</v>
      </c>
      <c r="K40" s="195" t="s">
        <v>196</v>
      </c>
      <c r="L40" s="195" t="s">
        <v>200</v>
      </c>
    </row>
    <row r="41" spans="1:13" ht="18.75">
      <c r="A41" s="262" t="s">
        <v>46</v>
      </c>
      <c r="B41" s="263"/>
      <c r="C41" s="263"/>
      <c r="D41" s="264"/>
      <c r="E41" s="38">
        <f>SUM(E42:E44)</f>
        <v>7500</v>
      </c>
      <c r="F41" s="38">
        <f>E41/A3</f>
        <v>0.5033619786248534</v>
      </c>
      <c r="G41" s="39"/>
      <c r="M41" t="s">
        <v>174</v>
      </c>
    </row>
    <row r="42" spans="1:7" ht="15.75">
      <c r="A42" s="246" t="s">
        <v>47</v>
      </c>
      <c r="B42" s="246"/>
      <c r="C42" s="246"/>
      <c r="D42" s="9"/>
      <c r="E42" s="9">
        <v>0</v>
      </c>
      <c r="F42" s="9">
        <f>E42/$A$3</f>
        <v>0</v>
      </c>
      <c r="G42" s="177" t="s">
        <v>102</v>
      </c>
    </row>
    <row r="43" spans="1:7" ht="15.75">
      <c r="A43" s="246" t="s">
        <v>83</v>
      </c>
      <c r="B43" s="246"/>
      <c r="C43" s="246"/>
      <c r="D43" s="9"/>
      <c r="E43" s="9">
        <v>0</v>
      </c>
      <c r="F43" s="9">
        <f>E43/$A$3</f>
        <v>0</v>
      </c>
      <c r="G43" s="178" t="s">
        <v>103</v>
      </c>
    </row>
    <row r="44" spans="1:8" ht="15.75" customHeight="1">
      <c r="A44" s="246" t="s">
        <v>161</v>
      </c>
      <c r="B44" s="246"/>
      <c r="C44" s="246"/>
      <c r="D44" s="9">
        <v>90000</v>
      </c>
      <c r="E44" s="9">
        <f>D44/12</f>
        <v>7500</v>
      </c>
      <c r="F44" s="9">
        <f>E44/$A$3</f>
        <v>0.5033619786248534</v>
      </c>
      <c r="G44" s="7" t="s">
        <v>107</v>
      </c>
      <c r="H44" s="19"/>
    </row>
    <row r="45" spans="1:7" ht="18.75" customHeight="1">
      <c r="A45" s="279" t="s">
        <v>48</v>
      </c>
      <c r="B45" s="280"/>
      <c r="C45" s="281"/>
      <c r="D45" s="40">
        <f>SUM(D5:D44)</f>
        <v>6303041.923893058</v>
      </c>
      <c r="E45" s="41">
        <f>E5+E6+E19+E27+E41</f>
        <v>525253.4936577549</v>
      </c>
      <c r="F45" s="41">
        <f>F5+F6+F19+F27+F41</f>
        <v>35.25235171295792</v>
      </c>
      <c r="G45" s="42"/>
    </row>
    <row r="46" spans="1:9" ht="15.75" customHeight="1">
      <c r="A46" s="276" t="s">
        <v>152</v>
      </c>
      <c r="B46" s="277"/>
      <c r="C46" s="278"/>
      <c r="D46" s="43">
        <f>E46*12</f>
        <v>2880</v>
      </c>
      <c r="E46" s="44">
        <f>H46*G46</f>
        <v>240</v>
      </c>
      <c r="F46" s="45">
        <f>E46/$A$3</f>
        <v>0.01610758331599531</v>
      </c>
      <c r="G46" s="124">
        <v>0.06</v>
      </c>
      <c r="H46">
        <v>4000</v>
      </c>
      <c r="I46" s="118" t="s">
        <v>217</v>
      </c>
    </row>
    <row r="47" spans="1:9" ht="20.25">
      <c r="A47" s="273" t="s">
        <v>49</v>
      </c>
      <c r="B47" s="274"/>
      <c r="C47" s="275"/>
      <c r="D47" s="41">
        <f>SUM(D45:D46)</f>
        <v>6305921.923893058</v>
      </c>
      <c r="E47" s="46">
        <f>SUM(E45:E46)</f>
        <v>525493.4936577549</v>
      </c>
      <c r="F47" s="46">
        <f>E47/$A$3</f>
        <v>35.26845929627392</v>
      </c>
      <c r="G47" s="42"/>
      <c r="H47" s="19">
        <f>D47/12</f>
        <v>525493.4936577549</v>
      </c>
      <c r="I47" s="19">
        <f>H47/$A$3</f>
        <v>35.26845929627392</v>
      </c>
    </row>
    <row r="50" spans="1:24" ht="18">
      <c r="A50" s="269" t="s">
        <v>181</v>
      </c>
      <c r="B50" s="269"/>
      <c r="C50" s="269"/>
      <c r="D50" s="174"/>
      <c r="E50" s="174"/>
      <c r="F50" s="213" t="s">
        <v>182</v>
      </c>
      <c r="G50" s="213"/>
      <c r="H50" s="74"/>
      <c r="I50" s="7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26.25" customHeight="1">
      <c r="A51" s="173" t="s">
        <v>183</v>
      </c>
      <c r="D51" s="174"/>
      <c r="E51" s="174"/>
      <c r="F51" s="214" t="s">
        <v>184</v>
      </c>
      <c r="G51" s="214"/>
      <c r="H51" s="74"/>
      <c r="I51" s="7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</sheetData>
  <sheetProtection/>
  <mergeCells count="54">
    <mergeCell ref="H33:J33"/>
    <mergeCell ref="A29:C29"/>
    <mergeCell ref="A25:C25"/>
    <mergeCell ref="A27:D27"/>
    <mergeCell ref="A33:C33"/>
    <mergeCell ref="A30:C30"/>
    <mergeCell ref="A31:C31"/>
    <mergeCell ref="A26:C26"/>
    <mergeCell ref="A32:C32"/>
    <mergeCell ref="A21:C21"/>
    <mergeCell ref="A12:C12"/>
    <mergeCell ref="A11:C11"/>
    <mergeCell ref="A19:D19"/>
    <mergeCell ref="A13:C13"/>
    <mergeCell ref="A24:C24"/>
    <mergeCell ref="A23:C23"/>
    <mergeCell ref="A15:C15"/>
    <mergeCell ref="A16:C16"/>
    <mergeCell ref="A14:C14"/>
    <mergeCell ref="A20:C20"/>
    <mergeCell ref="A8:C8"/>
    <mergeCell ref="A9:C9"/>
    <mergeCell ref="A10:C10"/>
    <mergeCell ref="A17:C17"/>
    <mergeCell ref="F50:G50"/>
    <mergeCell ref="F51:G51"/>
    <mergeCell ref="A50:C50"/>
    <mergeCell ref="A5:C5"/>
    <mergeCell ref="A47:C47"/>
    <mergeCell ref="A46:C46"/>
    <mergeCell ref="A45:C45"/>
    <mergeCell ref="A37:C37"/>
    <mergeCell ref="A40:C40"/>
    <mergeCell ref="A38:C38"/>
    <mergeCell ref="G3:G4"/>
    <mergeCell ref="A3:A4"/>
    <mergeCell ref="B3:B4"/>
    <mergeCell ref="C3:C4"/>
    <mergeCell ref="F3:F4"/>
    <mergeCell ref="A41:D41"/>
    <mergeCell ref="A35:C35"/>
    <mergeCell ref="A36:C36"/>
    <mergeCell ref="A7:C7"/>
    <mergeCell ref="A34:C34"/>
    <mergeCell ref="A1:G1"/>
    <mergeCell ref="A2:G2"/>
    <mergeCell ref="A22:C22"/>
    <mergeCell ref="A43:C43"/>
    <mergeCell ref="A44:C44"/>
    <mergeCell ref="A42:C42"/>
    <mergeCell ref="A6:D6"/>
    <mergeCell ref="A18:C18"/>
    <mergeCell ref="A28:C28"/>
    <mergeCell ref="A39:C39"/>
  </mergeCells>
  <printOptions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</dc:creator>
  <cp:keywords/>
  <dc:description/>
  <cp:lastModifiedBy>СА</cp:lastModifiedBy>
  <cp:lastPrinted>2019-02-12T13:14:22Z</cp:lastPrinted>
  <dcterms:created xsi:type="dcterms:W3CDTF">2013-08-28T13:30:29Z</dcterms:created>
  <dcterms:modified xsi:type="dcterms:W3CDTF">2019-02-12T13:15:17Z</dcterms:modified>
  <cp:category/>
  <cp:version/>
  <cp:contentType/>
  <cp:contentStatus/>
</cp:coreProperties>
</file>